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25" windowWidth="14835" windowHeight="9495" activeTab="0"/>
  </bookViews>
  <sheets>
    <sheet name="Non-reconnus" sheetId="1" r:id="rId1"/>
  </sheets>
  <externalReferences>
    <externalReference r:id="rId4"/>
  </externalReferences>
  <definedNames>
    <definedName name="_tbl2">#REF!</definedName>
    <definedName name="comtes">'[1]Lang'!#REF!</definedName>
    <definedName name="EV__LASTREFTIME__" hidden="1">40878.7109259259</definedName>
    <definedName name="_xlnm.Print_Titles" localSheetId="0">'Non-reconnus'!$1:$1</definedName>
    <definedName name="RechComte">'[1]Lang'!#REF!</definedName>
    <definedName name="_xlnm.Print_Area" localSheetId="0">'Non-reconnus'!$A$1:$W$1</definedName>
  </definedNames>
  <calcPr fullCalcOnLoad="1"/>
</workbook>
</file>

<file path=xl/comments1.xml><?xml version="1.0" encoding="utf-8"?>
<comments xmlns="http://schemas.openxmlformats.org/spreadsheetml/2006/main">
  <authors>
    <author>Graham</author>
  </authors>
  <commentList>
    <comment ref="X95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</t>
        </r>
      </text>
    </comment>
    <comment ref="X153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</t>
        </r>
      </text>
    </comment>
    <comment ref="X156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</t>
        </r>
      </text>
    </comment>
    <comment ref="X161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<sst xmlns="http://schemas.openxmlformats.org/spreadsheetml/2006/main" count="6686" uniqueCount="4054">
  <si>
    <t xml:space="preserve">Spruce Gap </t>
  </si>
  <si>
    <t>Mifflin</t>
  </si>
  <si>
    <t>Barrville</t>
  </si>
  <si>
    <t>531 Spruce Mountain Rd</t>
  </si>
  <si>
    <t>077°39'41.1"W</t>
  </si>
  <si>
    <t>40°42'49.8"N</t>
  </si>
  <si>
    <t>US-PA-0445</t>
  </si>
  <si>
    <t>US-PA-01626</t>
  </si>
  <si>
    <t xml:space="preserve">Big Gap </t>
  </si>
  <si>
    <t>Roxbury</t>
  </si>
  <si>
    <t>11384 Upper Strasburg Rd &amp; Forest Rd</t>
  </si>
  <si>
    <t>077°45'02.3"W</t>
  </si>
  <si>
    <t>40°03'29.7"N</t>
  </si>
  <si>
    <t>US-PA-0448</t>
  </si>
  <si>
    <t>US-PA-01635</t>
  </si>
  <si>
    <t xml:space="preserve">Markle Gap </t>
  </si>
  <si>
    <t>Centre</t>
  </si>
  <si>
    <t>Madisonburg</t>
  </si>
  <si>
    <t>US-80</t>
  </si>
  <si>
    <t>077°36'28.9"W</t>
  </si>
  <si>
    <t>40°56'19.0"N</t>
  </si>
  <si>
    <t>US-PA-0455</t>
  </si>
  <si>
    <t>US-PA-01645</t>
  </si>
  <si>
    <t xml:space="preserve">Kittanning Gap </t>
  </si>
  <si>
    <t>Blair</t>
  </si>
  <si>
    <t>078°27'00.5"W</t>
  </si>
  <si>
    <t>40°29'55.9"N</t>
  </si>
  <si>
    <t>US-PA-0531</t>
  </si>
  <si>
    <t>US-PA-01852</t>
  </si>
  <si>
    <t xml:space="preserve">Wildcat Gap </t>
  </si>
  <si>
    <t>Spring Mills</t>
  </si>
  <si>
    <t>077°31'25.9"W</t>
  </si>
  <si>
    <t>40°47'42.9"N</t>
  </si>
  <si>
    <t>US-PA-0557</t>
  </si>
  <si>
    <t>US-PA-01826</t>
  </si>
  <si>
    <t>McVeytown</t>
  </si>
  <si>
    <t>077°42'58.0"W</t>
  </si>
  <si>
    <t>40°26'44.0"N</t>
  </si>
  <si>
    <t>US-PA-0701a</t>
  </si>
  <si>
    <t>US-PA-02312</t>
  </si>
  <si>
    <t xml:space="preserve">Sugar Run Gap </t>
  </si>
  <si>
    <t>Cambria</t>
  </si>
  <si>
    <t>Cresson</t>
  </si>
  <si>
    <t>608 Tunnel Hill St</t>
  </si>
  <si>
    <t>078°32'00.1"W</t>
  </si>
  <si>
    <t>40°28'44.3"N</t>
  </si>
  <si>
    <t>US-SD-0821</t>
  </si>
  <si>
    <t>US-SD-02700</t>
  </si>
  <si>
    <t xml:space="preserve">Dillon Pass </t>
  </si>
  <si>
    <t>SD</t>
  </si>
  <si>
    <t>Pennington</t>
  </si>
  <si>
    <t>Wall SW</t>
  </si>
  <si>
    <t>102°11'41.9"W</t>
  </si>
  <si>
    <t>43°50'36.3"N</t>
  </si>
  <si>
    <t>Minuteman Missile National Park</t>
  </si>
  <si>
    <t>US-TN-0149</t>
  </si>
  <si>
    <t>US-TN-00468</t>
  </si>
  <si>
    <t>Cheatham</t>
  </si>
  <si>
    <t>Lillamay</t>
  </si>
  <si>
    <t>Narrows of the Harpeth Rd</t>
  </si>
  <si>
    <t>087°07'11.8"W</t>
  </si>
  <si>
    <t>36°08'54.8"N</t>
  </si>
  <si>
    <t>US-TN-0218</t>
  </si>
  <si>
    <t>US-TN-00728</t>
  </si>
  <si>
    <t xml:space="preserve">Deep Gut </t>
  </si>
  <si>
    <t>Woolworth</t>
  </si>
  <si>
    <t>1695 Tn-13 &amp; Deep Cut Rd</t>
  </si>
  <si>
    <t>087°41'41.0"W</t>
  </si>
  <si>
    <t>36°14'54.7"N</t>
  </si>
  <si>
    <t>US-TN-0248a</t>
  </si>
  <si>
    <t>US-TN-00869</t>
  </si>
  <si>
    <t xml:space="preserve">Hope Gap </t>
  </si>
  <si>
    <t>Loudon</t>
  </si>
  <si>
    <t>Lenoir City</t>
  </si>
  <si>
    <t>I-40 E</t>
  </si>
  <si>
    <t>084°15'44.0"W</t>
  </si>
  <si>
    <t>35°52'13.0"N</t>
  </si>
  <si>
    <t>US-TN-0250</t>
  </si>
  <si>
    <t>US-TN-00919</t>
  </si>
  <si>
    <t xml:space="preserve">Yarnell Gap </t>
  </si>
  <si>
    <t>Anderson</t>
  </si>
  <si>
    <t>Powell</t>
  </si>
  <si>
    <t>Yarnell Rd</t>
  </si>
  <si>
    <t>084°06'33.0"W</t>
  </si>
  <si>
    <t>36°04'47.0"N</t>
  </si>
  <si>
    <t>US-TN-0251</t>
  </si>
  <si>
    <t>US-TN-00832</t>
  </si>
  <si>
    <t xml:space="preserve">Devils Elbow </t>
  </si>
  <si>
    <t>Smith</t>
  </si>
  <si>
    <t>Carthage</t>
  </si>
  <si>
    <t>208 Defeated Creek Hwy</t>
  </si>
  <si>
    <t>085°56'26.2"W</t>
  </si>
  <si>
    <t>36°19'23.1"N</t>
  </si>
  <si>
    <t>US-TN-0261</t>
  </si>
  <si>
    <t>US-TN-00955</t>
  </si>
  <si>
    <t xml:space="preserve">Rule Gap </t>
  </si>
  <si>
    <t>Knox</t>
  </si>
  <si>
    <t>Maryville</t>
  </si>
  <si>
    <t>8000 Hall Rd</t>
  </si>
  <si>
    <t>083°55'02.6"W</t>
  </si>
  <si>
    <t>35°51'59.3"N</t>
  </si>
  <si>
    <t>US-TN-0269a</t>
  </si>
  <si>
    <t>US-TN-00970</t>
  </si>
  <si>
    <t xml:space="preserve">Holbert Gap </t>
  </si>
  <si>
    <t>Fountain City</t>
  </si>
  <si>
    <t>Norris Fwy (US 441 | SR 71)</t>
  </si>
  <si>
    <t>083°59'28.0"W</t>
  </si>
  <si>
    <t>36°07'15.0"N</t>
  </si>
  <si>
    <t>US-TN-0280</t>
  </si>
  <si>
    <t>US-TN-00920</t>
  </si>
  <si>
    <t xml:space="preserve">Pig Pen </t>
  </si>
  <si>
    <t>Maury</t>
  </si>
  <si>
    <t>Mount Joy</t>
  </si>
  <si>
    <t>087°21'02.9"W</t>
  </si>
  <si>
    <t>35°36'08.8"N</t>
  </si>
  <si>
    <t>US-TN-0297b</t>
  </si>
  <si>
    <t>US-TN-01045</t>
  </si>
  <si>
    <t xml:space="preserve">Cheneworth Gap </t>
  </si>
  <si>
    <t>Bearden</t>
  </si>
  <si>
    <t>6895 Oak Ridge Hwy</t>
  </si>
  <si>
    <t>084°03'38.0"W</t>
  </si>
  <si>
    <t>35°59'26.0"N</t>
  </si>
  <si>
    <t>US-TN-0298a</t>
  </si>
  <si>
    <t>US-TN-01002</t>
  </si>
  <si>
    <t xml:space="preserve">Fulton Gap </t>
  </si>
  <si>
    <t>John Sevier</t>
  </si>
  <si>
    <t>083°46'39.7"W</t>
  </si>
  <si>
    <t>36°05'21.4"N</t>
  </si>
  <si>
    <t>US-TN-0299</t>
  </si>
  <si>
    <t>US-TN-01040</t>
  </si>
  <si>
    <t xml:space="preserve">Sharp Gap </t>
  </si>
  <si>
    <t>Knoxville</t>
  </si>
  <si>
    <t>Access Road I-275</t>
  </si>
  <si>
    <t>083°57'13.5"W</t>
  </si>
  <si>
    <t>35°59'49.1"N</t>
  </si>
  <si>
    <t>US-TN-0324a</t>
  </si>
  <si>
    <t>US-TN-01151</t>
  </si>
  <si>
    <t xml:space="preserve">Brown Gap </t>
  </si>
  <si>
    <t>Brown Gap Rd</t>
  </si>
  <si>
    <t>083°53'54.5"W</t>
  </si>
  <si>
    <t>36°04'43.5"N</t>
  </si>
  <si>
    <t>US-TN-0325b</t>
  </si>
  <si>
    <t>US-TN-01142</t>
  </si>
  <si>
    <t xml:space="preserve">Crippen Gap </t>
  </si>
  <si>
    <t>US 441 (SR 33 | SR 71)</t>
  </si>
  <si>
    <t>083°55'35.0"W</t>
  </si>
  <si>
    <t>36°03'59.0"N</t>
  </si>
  <si>
    <t>US-TN-0329</t>
  </si>
  <si>
    <t>US-TN-01103</t>
  </si>
  <si>
    <t xml:space="preserve">Malone Gap </t>
  </si>
  <si>
    <t>Big Ridge Park</t>
  </si>
  <si>
    <t>SR 61</t>
  </si>
  <si>
    <t>083°55'17.5"W</t>
  </si>
  <si>
    <t>36°13'09.1"N</t>
  </si>
  <si>
    <t>US-TN-0334</t>
  </si>
  <si>
    <t>US-TN-01106</t>
  </si>
  <si>
    <t xml:space="preserve">Flint Gap </t>
  </si>
  <si>
    <t>Shooks Gap</t>
  </si>
  <si>
    <t>7173 Flint Gap Rd</t>
  </si>
  <si>
    <t>083°45'37.6"W</t>
  </si>
  <si>
    <t>35°58'49.1"N</t>
  </si>
  <si>
    <t>No gap/pass where the name is placed</t>
  </si>
  <si>
    <t>US-TN-0354a</t>
  </si>
  <si>
    <t>US-TN-01178</t>
  </si>
  <si>
    <t xml:space="preserve">Pull Tight </t>
  </si>
  <si>
    <t>Williamson</t>
  </si>
  <si>
    <t>College Grove</t>
  </si>
  <si>
    <t>6839 Pulltight Hill Rd</t>
  </si>
  <si>
    <t>086°44'45.5"W</t>
  </si>
  <si>
    <t>35°45'37.2"N</t>
  </si>
  <si>
    <t>US-TN-0358a</t>
  </si>
  <si>
    <t>US-TN-01232</t>
  </si>
  <si>
    <t xml:space="preserve">Owl Hole Gap </t>
  </si>
  <si>
    <t>Grainger</t>
  </si>
  <si>
    <t>Joppa</t>
  </si>
  <si>
    <t>1517 Owl Hole Gap Rd</t>
  </si>
  <si>
    <t>083°35'04.2"W</t>
  </si>
  <si>
    <t>36°13'56.0"N</t>
  </si>
  <si>
    <t>US-TN-0374a</t>
  </si>
  <si>
    <t>US-TN-01311</t>
  </si>
  <si>
    <t xml:space="preserve">Stamp Gap </t>
  </si>
  <si>
    <t>Hawkins</t>
  </si>
  <si>
    <t>Bulls Gap</t>
  </si>
  <si>
    <t>083°00'14.0"W</t>
  </si>
  <si>
    <t>36°17'11.3"N</t>
  </si>
  <si>
    <t>US-TN-0378</t>
  </si>
  <si>
    <t>US-TN-01288</t>
  </si>
  <si>
    <t xml:space="preserve">Lawson Gap </t>
  </si>
  <si>
    <t>McCloud</t>
  </si>
  <si>
    <t>082°54'30.2"W</t>
  </si>
  <si>
    <t>36°21'23.1"N</t>
  </si>
  <si>
    <t>US-TN-0378a</t>
  </si>
  <si>
    <t>US-TN-01322</t>
  </si>
  <si>
    <t xml:space="preserve">Mowls Gap </t>
  </si>
  <si>
    <t>Stony Point</t>
  </si>
  <si>
    <t>082°50'39.0"W</t>
  </si>
  <si>
    <t>36°25'27.0"N</t>
  </si>
  <si>
    <t>US-TN-0400</t>
  </si>
  <si>
    <t>US-TN-01600</t>
  </si>
  <si>
    <t xml:space="preserve">Hicks Gap </t>
  </si>
  <si>
    <t>Wauhatchie</t>
  </si>
  <si>
    <t>3427 Game Reserve Rd</t>
  </si>
  <si>
    <t>085°26'45.3"W</t>
  </si>
  <si>
    <t>35°03'26.0"N</t>
  </si>
  <si>
    <t>Where the name is placed it's a defile</t>
  </si>
  <si>
    <t>US-TN-0411b</t>
  </si>
  <si>
    <t>US-TN-01405</t>
  </si>
  <si>
    <t xml:space="preserve">Mansfield Gap </t>
  </si>
  <si>
    <t>Jefferson City</t>
  </si>
  <si>
    <t>Talbott Kansas Rd</t>
  </si>
  <si>
    <t>083°23'03.0"W</t>
  </si>
  <si>
    <t>36°06'33.0"N</t>
  </si>
  <si>
    <t>US-TN-0444</t>
  </si>
  <si>
    <t>US-TN-01549</t>
  </si>
  <si>
    <t xml:space="preserve">Mount Pleasant Gap </t>
  </si>
  <si>
    <t>Church Hill</t>
  </si>
  <si>
    <t>372 Mt Pleasant Rd</t>
  </si>
  <si>
    <t>082°41'16.8"W</t>
  </si>
  <si>
    <t>36°35'10.0"N</t>
  </si>
  <si>
    <t>US-TN-0445</t>
  </si>
  <si>
    <t>US-TN-01594</t>
  </si>
  <si>
    <t xml:space="preserve">Plum Grove Gap </t>
  </si>
  <si>
    <t>Plum Grove</t>
  </si>
  <si>
    <t>082°47'10.8"W</t>
  </si>
  <si>
    <t>36°35'03.4"N</t>
  </si>
  <si>
    <t>US-TN-0476a</t>
  </si>
  <si>
    <t>US-TN-01563</t>
  </si>
  <si>
    <t xml:space="preserve">Wadlow Gap </t>
  </si>
  <si>
    <t>Sullivan</t>
  </si>
  <si>
    <t>Kingsport</t>
  </si>
  <si>
    <t>082°31'02.0"W</t>
  </si>
  <si>
    <t>36°35'42.0"N</t>
  </si>
  <si>
    <t>US-TN-0493</t>
  </si>
  <si>
    <t>US-TN-01709</t>
  </si>
  <si>
    <t xml:space="preserve">Gap of the Knobs </t>
  </si>
  <si>
    <t>Greene</t>
  </si>
  <si>
    <t>Jearoldstown</t>
  </si>
  <si>
    <t>Pleasant Vale Rd</t>
  </si>
  <si>
    <t>082°41'35.0"W</t>
  </si>
  <si>
    <t>36°15'12.0"N</t>
  </si>
  <si>
    <t>US-TN-0495</t>
  </si>
  <si>
    <t>US-TN-01623</t>
  </si>
  <si>
    <t xml:space="preserve">Wilson Gap </t>
  </si>
  <si>
    <t>084°36'37.0"W</t>
  </si>
  <si>
    <t>34°59'23.0"N</t>
  </si>
  <si>
    <t>US-TN-0495b</t>
  </si>
  <si>
    <t>US-TN-01652</t>
  </si>
  <si>
    <t xml:space="preserve">Campbell Gap </t>
  </si>
  <si>
    <t>Chuckey</t>
  </si>
  <si>
    <t>SR 351 (Rheatown Rd)</t>
  </si>
  <si>
    <t>082°42'15.1"W</t>
  </si>
  <si>
    <t>36°14'15.6"N</t>
  </si>
  <si>
    <t>US-TN-0499</t>
  </si>
  <si>
    <t>US-TN-01635</t>
  </si>
  <si>
    <t xml:space="preserve">Dogwood Gap </t>
  </si>
  <si>
    <t>Cocke</t>
  </si>
  <si>
    <t>Paint Rock</t>
  </si>
  <si>
    <t>082°58'12.6"W</t>
  </si>
  <si>
    <t>35°53'47.7"N</t>
  </si>
  <si>
    <t>US-TN-0611b</t>
  </si>
  <si>
    <t>US-TN-02004</t>
  </si>
  <si>
    <t xml:space="preserve">Thorn Hill Gap </t>
  </si>
  <si>
    <t>Avondale</t>
  </si>
  <si>
    <t>083°23'50.0"W</t>
  </si>
  <si>
    <t>36°21'03.0"N</t>
  </si>
  <si>
    <t>US-TN-0665</t>
  </si>
  <si>
    <t>US-TN-02182</t>
  </si>
  <si>
    <t xml:space="preserve">Oxier Gap </t>
  </si>
  <si>
    <t>Bledsoe</t>
  </si>
  <si>
    <t>Melvine</t>
  </si>
  <si>
    <t>085°01'35.9"W</t>
  </si>
  <si>
    <t>35°41'59.5"N</t>
  </si>
  <si>
    <t>US-TN-0997</t>
  </si>
  <si>
    <t>US-TN-03234</t>
  </si>
  <si>
    <t xml:space="preserve">Dick Creek Gap </t>
  </si>
  <si>
    <t>Unicoi</t>
  </si>
  <si>
    <t>082°20'33.0"W</t>
  </si>
  <si>
    <t>36°08'52.0"N</t>
  </si>
  <si>
    <t>US-TN-1077</t>
  </si>
  <si>
    <t>US-TN-03532</t>
  </si>
  <si>
    <t xml:space="preserve">Double Spring Gap </t>
  </si>
  <si>
    <t>Shady Valley</t>
  </si>
  <si>
    <t>081°55'54.0"W</t>
  </si>
  <si>
    <t>36°33'28.0"N</t>
  </si>
  <si>
    <t>US-TN-1100</t>
  </si>
  <si>
    <t>US-TN-03424</t>
  </si>
  <si>
    <t xml:space="preserve">Grassy Gap </t>
  </si>
  <si>
    <t>Monroe</t>
  </si>
  <si>
    <t>Big Junction</t>
  </si>
  <si>
    <t>Tn-165</t>
  </si>
  <si>
    <t>084°05'38.2"W</t>
  </si>
  <si>
    <t>35°21'24.7"N</t>
  </si>
  <si>
    <t>No pass/gap where named is placed by USGS &amp; USBGN</t>
  </si>
  <si>
    <t>US-TX-0405</t>
  </si>
  <si>
    <t>US-TX-01331</t>
  </si>
  <si>
    <t xml:space="preserve">High Gate </t>
  </si>
  <si>
    <t>TX</t>
  </si>
  <si>
    <t>Lampasas</t>
  </si>
  <si>
    <t>Gorman Falls</t>
  </si>
  <si>
    <t>098°25'46.9"W</t>
  </si>
  <si>
    <t>31°05'12.5"N</t>
  </si>
  <si>
    <t>Not pass/gap here</t>
  </si>
  <si>
    <t>US-TX-0458</t>
  </si>
  <si>
    <t>US-TX-01495</t>
  </si>
  <si>
    <t>Rhineland</t>
  </si>
  <si>
    <t>US82</t>
  </si>
  <si>
    <t>099°43'25.9"W</t>
  </si>
  <si>
    <t>33°35'23.6"N</t>
  </si>
  <si>
    <t>Seems to be just a narrow crest but not a gap or a pass</t>
  </si>
  <si>
    <t>US-TX-0515</t>
  </si>
  <si>
    <t>US-TX-01693</t>
  </si>
  <si>
    <t xml:space="preserve">Beards Gap </t>
  </si>
  <si>
    <t>Brown</t>
  </si>
  <si>
    <t>Democrat</t>
  </si>
  <si>
    <t>098°42'14.4"W</t>
  </si>
  <si>
    <t>31°42'35.3"N</t>
  </si>
  <si>
    <t>US-TX-0639</t>
  </si>
  <si>
    <t>US-TX-02093</t>
  </si>
  <si>
    <t xml:space="preserve">Dead Mans Curve </t>
  </si>
  <si>
    <t>Rio Grande Vill</t>
  </si>
  <si>
    <t>Rio Grande Village Dr</t>
  </si>
  <si>
    <t>102°58'54.5"W</t>
  </si>
  <si>
    <t>29°12'06.9"N</t>
  </si>
  <si>
    <t>Big Bend National Park (Road)</t>
  </si>
  <si>
    <t>US-TX-0795</t>
  </si>
  <si>
    <t>US-TX-02642</t>
  </si>
  <si>
    <t xml:space="preserve">Dog Canyon </t>
  </si>
  <si>
    <t>Camel Pass</t>
  </si>
  <si>
    <t>Dagger Flat</t>
  </si>
  <si>
    <t>103°06'42.0"W</t>
  </si>
  <si>
    <t>29°37'26.0"N</t>
  </si>
  <si>
    <t>Big Bend National Park</t>
  </si>
  <si>
    <t>Gorge</t>
  </si>
  <si>
    <t>US-TX-1093</t>
  </si>
  <si>
    <t>US-TX-03613</t>
  </si>
  <si>
    <t>Hudspeth</t>
  </si>
  <si>
    <t>Schoroder Arroyo</t>
  </si>
  <si>
    <t>105°28'10.7"W</t>
  </si>
  <si>
    <t>30°57'21.7"N</t>
  </si>
  <si>
    <t>US-UT-1373</t>
  </si>
  <si>
    <t>US-UT-04514</t>
  </si>
  <si>
    <t xml:space="preserve">The Shutoff </t>
  </si>
  <si>
    <t>UT</t>
  </si>
  <si>
    <t>Tooele</t>
  </si>
  <si>
    <t>Coyote Springs</t>
  </si>
  <si>
    <t>Old River Bed Rd</t>
  </si>
  <si>
    <t>112°51'36.0"W</t>
  </si>
  <si>
    <t>39°55'42.2"N</t>
  </si>
  <si>
    <t>US-UT-1600</t>
  </si>
  <si>
    <t>US-UT-05230</t>
  </si>
  <si>
    <t xml:space="preserve">Sunset Pass </t>
  </si>
  <si>
    <t>Box Elder</t>
  </si>
  <si>
    <t>Sunset Pass</t>
  </si>
  <si>
    <t>Suns&amp; Pass Rd</t>
  </si>
  <si>
    <t>112°35'37.0"W</t>
  </si>
  <si>
    <t>41°41'56.8"N</t>
  </si>
  <si>
    <t>US-UT-1617</t>
  </si>
  <si>
    <t>US-UT-05429</t>
  </si>
  <si>
    <t>Wayne</t>
  </si>
  <si>
    <t>Fruita</t>
  </si>
  <si>
    <t>111°12'04.1"W</t>
  </si>
  <si>
    <t>38°16'25.4"N</t>
  </si>
  <si>
    <t>Capitol Reef National Park</t>
  </si>
  <si>
    <t>US-UT-1633</t>
  </si>
  <si>
    <t>US-UT-05617</t>
  </si>
  <si>
    <t xml:space="preserve">The Breach </t>
  </si>
  <si>
    <t>Upheaval Dome</t>
  </si>
  <si>
    <t>109°55'12.0"W</t>
  </si>
  <si>
    <t>38°26'49.6"N</t>
  </si>
  <si>
    <t>Canyonlands National Park</t>
  </si>
  <si>
    <t>US-UT-1673</t>
  </si>
  <si>
    <t>US-UT-05487</t>
  </si>
  <si>
    <t xml:space="preserve">Salt Gap </t>
  </si>
  <si>
    <t>Sevier</t>
  </si>
  <si>
    <t>Salina</t>
  </si>
  <si>
    <t>111°49'58.4"W</t>
  </si>
  <si>
    <t>38°57'43.6"N</t>
  </si>
  <si>
    <t>US-UT-1698</t>
  </si>
  <si>
    <t>US-UT-05649</t>
  </si>
  <si>
    <t>Iron</t>
  </si>
  <si>
    <t>Parowan Gap</t>
  </si>
  <si>
    <t>N Gap Rd</t>
  </si>
  <si>
    <t>112°59'08.8"W</t>
  </si>
  <si>
    <t>37°54'34.9"N</t>
  </si>
  <si>
    <t>US-UT-1704</t>
  </si>
  <si>
    <t>US-UT-05640</t>
  </si>
  <si>
    <t xml:space="preserve">Little Gap </t>
  </si>
  <si>
    <t>112°59'32.0"W</t>
  </si>
  <si>
    <t>37°53'44.0"N</t>
  </si>
  <si>
    <t>US-UT-1748</t>
  </si>
  <si>
    <t>US-UT-05712</t>
  </si>
  <si>
    <t xml:space="preserve">Deer Trap </t>
  </si>
  <si>
    <t>Temple of Sinawava</t>
  </si>
  <si>
    <t>112°56'54.3"W</t>
  </si>
  <si>
    <t>US-NH-0535</t>
  </si>
  <si>
    <t>105°31'28.0"W</t>
  </si>
  <si>
    <t>39°33'17.0"N</t>
  </si>
  <si>
    <t>Helmuth
Mount Evans hiking guides</t>
  </si>
  <si>
    <t>US-CO-3279</t>
  </si>
  <si>
    <t>US-CO-10700</t>
  </si>
  <si>
    <t xml:space="preserve">Hepburn's Pass </t>
  </si>
  <si>
    <t>105°45'32.5"W</t>
  </si>
  <si>
    <t>39°29'47.2"N</t>
  </si>
  <si>
    <t>Helmuth
Named after Charles Hepburn. Much historic value</t>
  </si>
  <si>
    <t>US-CO-3323</t>
  </si>
  <si>
    <t>US-CO-10880</t>
  </si>
  <si>
    <t xml:space="preserve">East Lone Cone Pass </t>
  </si>
  <si>
    <t>Groundhog Mountain</t>
  </si>
  <si>
    <t>108°08'23.2"W</t>
  </si>
  <si>
    <t>37°50'02.3"N</t>
  </si>
  <si>
    <t>US-CO-3349</t>
  </si>
  <si>
    <t>US-CO-10992</t>
  </si>
  <si>
    <t xml:space="preserve">Seven Ute Pass </t>
  </si>
  <si>
    <t>Mount Richthofen</t>
  </si>
  <si>
    <t>105°55'40.0"W</t>
  </si>
  <si>
    <t>40°28'34.0"N</t>
  </si>
  <si>
    <t>Helmuth
Continental Divide trail hiking guides</t>
  </si>
  <si>
    <t>US-CO-3355</t>
  </si>
  <si>
    <t>US-CO-10989</t>
  </si>
  <si>
    <t xml:space="preserve">Lone Cone Pass </t>
  </si>
  <si>
    <t>Grounghog Mountain</t>
  </si>
  <si>
    <t>108°11'56.3"W</t>
  </si>
  <si>
    <t>37°49'26.9"N</t>
  </si>
  <si>
    <t>US-CO-3371</t>
  </si>
  <si>
    <t>US-CO-11052</t>
  </si>
  <si>
    <t xml:space="preserve">Seven Lakes Pass </t>
  </si>
  <si>
    <t>Pikes Peak</t>
  </si>
  <si>
    <t>Y</t>
  </si>
  <si>
    <t>105°00'20.8"W</t>
  </si>
  <si>
    <t>38°47'34.1"N</t>
  </si>
  <si>
    <t>Helmuth
Well used in the late 1800s</t>
  </si>
  <si>
    <t>Colorado Water Dept no access</t>
  </si>
  <si>
    <t>US-CO-3371a</t>
  </si>
  <si>
    <t>US-CO-11060</t>
  </si>
  <si>
    <t xml:space="preserve">Simmons Pass </t>
  </si>
  <si>
    <t>Fram</t>
  </si>
  <si>
    <t>Wellsville</t>
  </si>
  <si>
    <t>106°00'03.2"W</t>
  </si>
  <si>
    <t>38°25'45.9"N</t>
  </si>
  <si>
    <t>Sangre de Cristo Wilderness</t>
  </si>
  <si>
    <t>US-CO-3375</t>
  </si>
  <si>
    <t>US-CO-11090</t>
  </si>
  <si>
    <t xml:space="preserve">Sugarloaf Pass </t>
  </si>
  <si>
    <t>Homestake Reservoir</t>
  </si>
  <si>
    <t>106°25'19.5"W</t>
  </si>
  <si>
    <t>39°15'35.0"N</t>
  </si>
  <si>
    <t>US-CO-3411</t>
  </si>
  <si>
    <t>US-CO-11181</t>
  </si>
  <si>
    <t xml:space="preserve">Hell Creek Divide </t>
  </si>
  <si>
    <t>Isolation Peak</t>
  </si>
  <si>
    <t>105°43'00.4"W</t>
  </si>
  <si>
    <t>40°08'48.3"N</t>
  </si>
  <si>
    <t>Helmuth
Hiking guides</t>
  </si>
  <si>
    <t>Indian Peaks Wilderness</t>
  </si>
  <si>
    <t>US-CO-3433</t>
  </si>
  <si>
    <t>US-CO-11272</t>
  </si>
  <si>
    <t xml:space="preserve">Squirrel Pass </t>
  </si>
  <si>
    <t>Como</t>
  </si>
  <si>
    <t>105°58'01.8"W</t>
  </si>
  <si>
    <t>39°20'10.3"N</t>
  </si>
  <si>
    <t>US-CO-3456</t>
  </si>
  <si>
    <t>US-CO-11338</t>
  </si>
  <si>
    <t xml:space="preserve">Ute Creek Pass </t>
  </si>
  <si>
    <t>Blanca Peak</t>
  </si>
  <si>
    <t>105°25'06.0"W</t>
  </si>
  <si>
    <t>37°37'02.0"N</t>
  </si>
  <si>
    <t>Helmuth
Luther Bean - history of San Luis valley</t>
  </si>
  <si>
    <t>US-CO-3504a</t>
  </si>
  <si>
    <t>US-CO-11496</t>
  </si>
  <si>
    <t xml:space="preserve">Pahlone Pass </t>
  </si>
  <si>
    <t>Pahlone Peak</t>
  </si>
  <si>
    <t>T/S - Continentl Divide Trail</t>
  </si>
  <si>
    <t>106°15'33.0"W</t>
  </si>
  <si>
    <t>38°26'32.0"N</t>
  </si>
  <si>
    <t>US-CO-3556</t>
  </si>
  <si>
    <t>US-CO-11662</t>
  </si>
  <si>
    <t xml:space="preserve">Dart Pass </t>
  </si>
  <si>
    <t>East Portal</t>
  </si>
  <si>
    <t>105°41'16.0"W</t>
  </si>
  <si>
    <t>39°56'15.0"N</t>
  </si>
  <si>
    <t>Helmuth
1870s historic research</t>
  </si>
  <si>
    <t>US-CO-3563</t>
  </si>
  <si>
    <t>US-CO-11699</t>
  </si>
  <si>
    <t xml:space="preserve">Red Dog Pass </t>
  </si>
  <si>
    <t>105°54'41.9"W</t>
  </si>
  <si>
    <t>40°26'09.6"N</t>
  </si>
  <si>
    <t>Helmuth
Trail hiking guides</t>
  </si>
  <si>
    <t>Never Summer Wilderness</t>
  </si>
  <si>
    <t>US-CO-3572</t>
  </si>
  <si>
    <t>US-CO-11686</t>
  </si>
  <si>
    <t xml:space="preserve">Spud Pass </t>
  </si>
  <si>
    <t>Marble</t>
  </si>
  <si>
    <t>107°14'09.0"W</t>
  </si>
  <si>
    <t>39°00'33.0"N</t>
  </si>
  <si>
    <t>Helmuth
Identified by locals</t>
  </si>
  <si>
    <t>Raggeds Wilderness</t>
  </si>
  <si>
    <t>US-CO-3616</t>
  </si>
  <si>
    <t>US-CO-11854</t>
  </si>
  <si>
    <t xml:space="preserve">Zapata Pass </t>
  </si>
  <si>
    <t>Alamosa</t>
  </si>
  <si>
    <t>Mosca Pass</t>
  </si>
  <si>
    <t>105°29'14.6"W</t>
  </si>
  <si>
    <t>37°38'44.9"N</t>
  </si>
  <si>
    <t>US-CO-3617</t>
  </si>
  <si>
    <t>US-CO-11899</t>
  </si>
  <si>
    <t xml:space="preserve">Star Pass </t>
  </si>
  <si>
    <t>Oh-be-joyful</t>
  </si>
  <si>
    <t>107°05'50.0"W</t>
  </si>
  <si>
    <t>38°54'45.0"N</t>
  </si>
  <si>
    <t>Helmuth
Locally known</t>
  </si>
  <si>
    <t>US-CO-3629</t>
  </si>
  <si>
    <t>US-CO-11929</t>
  </si>
  <si>
    <t xml:space="preserve">San Francisco Pass </t>
  </si>
  <si>
    <t>Culebra Peak</t>
  </si>
  <si>
    <t>105°13'49.3"W</t>
  </si>
  <si>
    <t>37°02'22.8"N</t>
  </si>
  <si>
    <t>No access. Private land.</t>
  </si>
  <si>
    <t>US-CO-3633</t>
  </si>
  <si>
    <t>US-CO-12060</t>
  </si>
  <si>
    <t xml:space="preserve">Denver Pass </t>
  </si>
  <si>
    <t>San Juan</t>
  </si>
  <si>
    <t>Handies Peak</t>
  </si>
  <si>
    <t>107°35'31.9"W</t>
  </si>
  <si>
    <t>37°56'55.8"N</t>
  </si>
  <si>
    <t>US-CO-3643</t>
  </si>
  <si>
    <t>US-CO-11947</t>
  </si>
  <si>
    <t xml:space="preserve">Altman Pass </t>
  </si>
  <si>
    <t>Alpine Pass</t>
  </si>
  <si>
    <t>Cumberland Pass</t>
  </si>
  <si>
    <t>106°24'22.9"W</t>
  </si>
  <si>
    <t>38°38'50.5"N</t>
  </si>
  <si>
    <t>Helmuth
Historical - after Colonel Altman</t>
  </si>
  <si>
    <t>US-CO-3663</t>
  </si>
  <si>
    <t>US-CO-12004</t>
  </si>
  <si>
    <t xml:space="preserve">Difficult Pass </t>
  </si>
  <si>
    <t>Garfield</t>
  </si>
  <si>
    <t>New York Peak</t>
  </si>
  <si>
    <t>106°44'03.4"W</t>
  </si>
  <si>
    <t>39°02'42.5"N</t>
  </si>
  <si>
    <t>Helmuth
Early 1900s historical research</t>
  </si>
  <si>
    <t>Collegiate Peaks Wilderness</t>
  </si>
  <si>
    <t>US-CO-3664</t>
  </si>
  <si>
    <t>US-CO-12023</t>
  </si>
  <si>
    <t xml:space="preserve">Bear Pass </t>
  </si>
  <si>
    <t>Keystone</t>
  </si>
  <si>
    <t>105°53'35.0"W</t>
  </si>
  <si>
    <t>39°33'03.0"N</t>
  </si>
  <si>
    <t>Helmuth
Historical research</t>
  </si>
  <si>
    <t>US-CO-3669</t>
  </si>
  <si>
    <t>US-CO-12011</t>
  </si>
  <si>
    <t xml:space="preserve">Dead Man's Pass </t>
  </si>
  <si>
    <t>105°40'15.0"W</t>
  </si>
  <si>
    <t>40°13'05.0"N</t>
  </si>
  <si>
    <t>Helmuth
Colorado Mountain Club reports</t>
  </si>
  <si>
    <t>Colorado Mountain Club not yet considered valid as a source</t>
  </si>
  <si>
    <t>US-CO-3677</t>
  </si>
  <si>
    <t>US-CO-12060b</t>
  </si>
  <si>
    <t xml:space="preserve">Booth Creek Pass </t>
  </si>
  <si>
    <t>106°17'58.5"W</t>
  </si>
  <si>
    <t>39°42'12.1"N</t>
  </si>
  <si>
    <t>Helmuth
Ormes Guide to Colorado Mts</t>
  </si>
  <si>
    <t>US-CO-3682</t>
  </si>
  <si>
    <t>US-CO-12060a</t>
  </si>
  <si>
    <t xml:space="preserve">Capitol Pass </t>
  </si>
  <si>
    <t>Pitkin</t>
  </si>
  <si>
    <t>Capitol Peak</t>
  </si>
  <si>
    <t>107°05'15.5"W</t>
  </si>
  <si>
    <t>39°09'17.7"N</t>
  </si>
  <si>
    <t>Helmuth
Identified by forest ranger</t>
  </si>
  <si>
    <t>Maroon Bell Snowmass Wilderness</t>
  </si>
  <si>
    <t>US-CO-3686</t>
  </si>
  <si>
    <t>US-CO-12090a</t>
  </si>
  <si>
    <t xml:space="preserve">Toll Pass </t>
  </si>
  <si>
    <t>Trail Ridge</t>
  </si>
  <si>
    <t>105°43'08.0"W</t>
  </si>
  <si>
    <t>40°24'42.0"N</t>
  </si>
  <si>
    <t>Helmuth
Doris B. Osterwald Rocky Mountain National Park</t>
  </si>
  <si>
    <t>US-CO-3692</t>
  </si>
  <si>
    <t>US-CO-12120</t>
  </si>
  <si>
    <t xml:space="preserve">Rock Cut </t>
  </si>
  <si>
    <t>Trail Ridge Rd (34)</t>
  </si>
  <si>
    <t>105°43'52.4"W</t>
  </si>
  <si>
    <t>40°24'39.0"N</t>
  </si>
  <si>
    <t>Rocky Mountain National Park (Road)</t>
  </si>
  <si>
    <t>The name indicates the cliff face not the pass to the East (which has the unofficial name of Toll Pass)</t>
  </si>
  <si>
    <t>US-CO-3699</t>
  </si>
  <si>
    <t>US-CO-12130</t>
  </si>
  <si>
    <t xml:space="preserve">Cunningham Pass </t>
  </si>
  <si>
    <t>Rio Grande Pass</t>
  </si>
  <si>
    <t>Howardsville</t>
  </si>
  <si>
    <t>107°33'28.0"W</t>
  </si>
  <si>
    <t>37°46'15.0"N</t>
  </si>
  <si>
    <t>Helmuth
Named after Major Cunningham</t>
  </si>
  <si>
    <t>Weminuche Wilderness</t>
  </si>
  <si>
    <t>US-CO-3728</t>
  </si>
  <si>
    <t>US-CO-12225</t>
  </si>
  <si>
    <t xml:space="preserve">Corkscrew Pass </t>
  </si>
  <si>
    <t>Ouray</t>
  </si>
  <si>
    <t>Ironton</t>
  </si>
  <si>
    <t>107°39'41.4"W</t>
  </si>
  <si>
    <t>37°54'23.3"N</t>
  </si>
  <si>
    <t>US-CO-3729</t>
  </si>
  <si>
    <t>US-CO-12072</t>
  </si>
  <si>
    <t xml:space="preserve">Ute Pass </t>
  </si>
  <si>
    <t>Rio Grande Pyramide</t>
  </si>
  <si>
    <t>107°28'36.1"W</t>
  </si>
  <si>
    <t>37°39'40.9"N</t>
  </si>
  <si>
    <t>US-CO-3731</t>
  </si>
  <si>
    <t>US-CO-12246</t>
  </si>
  <si>
    <t xml:space="preserve">Bowman Pass </t>
  </si>
  <si>
    <t>106°42'30.3"W</t>
  </si>
  <si>
    <t>39°03'10.7"N</t>
  </si>
  <si>
    <t>Helmuth
Historical usage</t>
  </si>
  <si>
    <t>US-CO-3733</t>
  </si>
  <si>
    <t>US-CO-12230</t>
  </si>
  <si>
    <t xml:space="preserve">Handcart Pass </t>
  </si>
  <si>
    <t>Mount Jackson</t>
  </si>
  <si>
    <t>105°51'13.6"W</t>
  </si>
  <si>
    <t>39°31'38.3"N</t>
  </si>
  <si>
    <t>Holy Cross Wilderness</t>
  </si>
  <si>
    <t>US-CO-3736</t>
  </si>
  <si>
    <t>US-CO-12248</t>
  </si>
  <si>
    <t xml:space="preserve">Cascade Pass </t>
  </si>
  <si>
    <t>Wetterhorn Peak</t>
  </si>
  <si>
    <t>107°37'21.0"W</t>
  </si>
  <si>
    <t>38°01'46.0"N</t>
  </si>
  <si>
    <t>Helmuth
Ouray-area hiking guides</t>
  </si>
  <si>
    <t>Uncompahgre Wilderness</t>
  </si>
  <si>
    <t>US-CO-3740</t>
  </si>
  <si>
    <t>US-CO-12277</t>
  </si>
  <si>
    <t xml:space="preserve">New York Pass </t>
  </si>
  <si>
    <t>106°41'42.4"W</t>
  </si>
  <si>
    <t>39°03'19.0"N</t>
  </si>
  <si>
    <t>US-CO-3748</t>
  </si>
  <si>
    <t>US-CO-12293</t>
  </si>
  <si>
    <t xml:space="preserve">Wildhorse  Creek Pass </t>
  </si>
  <si>
    <t>Wetterhron Peak</t>
  </si>
  <si>
    <t>107°34'39.0"W</t>
  </si>
  <si>
    <t>38°00'06.0"N</t>
  </si>
  <si>
    <t>Helmuth
Named by James Grafton Rogers</t>
  </si>
  <si>
    <t>US-CO-3759</t>
  </si>
  <si>
    <t>US-CO-12310</t>
  </si>
  <si>
    <t>Grassy Pass</t>
  </si>
  <si>
    <t>106°32'35.2"W</t>
  </si>
  <si>
    <t>39°24'31.4"N</t>
  </si>
  <si>
    <t>Helmuth
Ormes Guide to the Colorado Mountains</t>
  </si>
  <si>
    <t>US-CO-3766</t>
  </si>
  <si>
    <t>US-CO-12340</t>
  </si>
  <si>
    <t xml:space="preserve">Central Pass </t>
  </si>
  <si>
    <t>Willow Lakes</t>
  </si>
  <si>
    <t>106°14'20.2"W</t>
  </si>
  <si>
    <t>39°40'34.7"N</t>
  </si>
  <si>
    <t>Helmuth
Vail-area hiking guides</t>
  </si>
  <si>
    <t>Eagles Nest Wilderness</t>
  </si>
  <si>
    <t>US-CO-3768</t>
  </si>
  <si>
    <t>US-CO-12450</t>
  </si>
  <si>
    <t xml:space="preserve">Carson Pass </t>
  </si>
  <si>
    <t>Finger Mesa</t>
  </si>
  <si>
    <t>107°22'04.6"W</t>
  </si>
  <si>
    <t>37°51'23.3"N</t>
  </si>
  <si>
    <t>Helmuth
Named after miner Christopher Carson</t>
  </si>
  <si>
    <t>US-CO-3771a</t>
  </si>
  <si>
    <t>US-CO-12382</t>
  </si>
  <si>
    <t xml:space="preserve">Gunsight Pass </t>
  </si>
  <si>
    <t>107°25'28.4"W</t>
  </si>
  <si>
    <t>37°38'05.9"N</t>
  </si>
  <si>
    <t>Helmuth
Continental Divide hiking guidebooks</t>
  </si>
  <si>
    <t>US-CO-3792</t>
  </si>
  <si>
    <t>US-CO-12445</t>
  </si>
  <si>
    <t xml:space="preserve">Bear Creek Pass </t>
  </si>
  <si>
    <t>Ophir</t>
  </si>
  <si>
    <t>4WD/R</t>
  </si>
  <si>
    <t>107°50'20.9"W</t>
  </si>
  <si>
    <t>37°46'42.8"N</t>
  </si>
  <si>
    <t>US-CO-3797a</t>
  </si>
  <si>
    <t>US-CO-12460b</t>
  </si>
  <si>
    <t xml:space="preserve">Columbia Pass </t>
  </si>
  <si>
    <t>106°42'02.6"W</t>
  </si>
  <si>
    <t>39°04'12.2"N</t>
  </si>
  <si>
    <t>US-CO-3800</t>
  </si>
  <si>
    <t>US-CO-12460a</t>
  </si>
  <si>
    <t xml:space="preserve">Brush Creek Pass </t>
  </si>
  <si>
    <t>Electric Peak</t>
  </si>
  <si>
    <t>105°43'20.0"W</t>
  </si>
  <si>
    <t>38°11'37.0"N</t>
  </si>
  <si>
    <t>US-CO-3804</t>
  </si>
  <si>
    <t>US-CO-12460</t>
  </si>
  <si>
    <t xml:space="preserve">Nebo Pass </t>
  </si>
  <si>
    <t>107°30'03.1"W</t>
  </si>
  <si>
    <t>37°40'53.3"N</t>
  </si>
  <si>
    <t>Helmuth
Named after Mt Nebo</t>
  </si>
  <si>
    <t>US-CO-3811</t>
  </si>
  <si>
    <t>US-CO-12500a</t>
  </si>
  <si>
    <t xml:space="preserve">Coxcomb Pass </t>
  </si>
  <si>
    <t>Hindsdale</t>
  </si>
  <si>
    <t>107°32'47.0"W</t>
  </si>
  <si>
    <t>38°04'47.0"N</t>
  </si>
  <si>
    <t>Helmuth
Colorado Mountain Club</t>
  </si>
  <si>
    <t>Colorado Mountain Club not yet valid as a source</t>
  </si>
  <si>
    <t>US-CO-3814</t>
  </si>
  <si>
    <t>US-CO-12513</t>
  </si>
  <si>
    <t xml:space="preserve">Daly Pass </t>
  </si>
  <si>
    <t>107°04'24.6"W</t>
  </si>
  <si>
    <t>39°09'47.7"N</t>
  </si>
  <si>
    <t>Helmuth
Aspen-area hiking guides</t>
  </si>
  <si>
    <t>Maroon Bells-Snowmass Wilderness</t>
  </si>
  <si>
    <t>US-CO-3817</t>
  </si>
  <si>
    <t>US-CO-12539a</t>
  </si>
  <si>
    <t xml:space="preserve">Snow Lake Pass </t>
  </si>
  <si>
    <t>106°13'04.1"W</t>
  </si>
  <si>
    <t>39°39'09.8"N</t>
  </si>
  <si>
    <t>US-CO-3823</t>
  </si>
  <si>
    <t>US-CO-12451a</t>
  </si>
  <si>
    <t xml:space="preserve">Graham Pass </t>
  </si>
  <si>
    <t>Independence Pass</t>
  </si>
  <si>
    <t>106°34'41.9"W</t>
  </si>
  <si>
    <t>39°03'29.6"N</t>
  </si>
  <si>
    <t>US-CO-3824</t>
  </si>
  <si>
    <t>US-CO-12538</t>
  </si>
  <si>
    <t xml:space="preserve">Maggie Gulch Pass </t>
  </si>
  <si>
    <t>107°31'28.9"W</t>
  </si>
  <si>
    <t>37°48'50.4"N</t>
  </si>
  <si>
    <t>US-CO-3825b</t>
  </si>
  <si>
    <t>US-CO-12539</t>
  </si>
  <si>
    <t xml:space="preserve">Calico Pass </t>
  </si>
  <si>
    <t>Saint Elmo</t>
  </si>
  <si>
    <t>Petersburg West</t>
  </si>
  <si>
    <t>079°13'57.0"W</t>
  </si>
  <si>
    <t>38°56'50.0"N</t>
  </si>
  <si>
    <t>US-WV-0358</t>
  </si>
  <si>
    <t>US-WV-01342</t>
  </si>
  <si>
    <t xml:space="preserve">Stillhouse Gap </t>
  </si>
  <si>
    <t>079°11'54.0"W</t>
  </si>
  <si>
    <t>38°59'04.7"N</t>
  </si>
  <si>
    <t>US-WV-0946</t>
  </si>
  <si>
    <t>US-WV-03100</t>
  </si>
  <si>
    <t xml:space="preserve">Lynn Low Place </t>
  </si>
  <si>
    <t>Linn Low Place</t>
  </si>
  <si>
    <t>Nicholas</t>
  </si>
  <si>
    <t>Richwood</t>
  </si>
  <si>
    <t>080°36'52.5"W</t>
  </si>
  <si>
    <t>38°09'31.5"N</t>
  </si>
  <si>
    <t>US-WV-0987</t>
  </si>
  <si>
    <t>US-WV-03233</t>
  </si>
  <si>
    <t xml:space="preserve">Shumate Gap </t>
  </si>
  <si>
    <t>Mercer</t>
  </si>
  <si>
    <t>Oakvale</t>
  </si>
  <si>
    <t>080°56'39.0"W</t>
  </si>
  <si>
    <t>37°17'48.0"N</t>
  </si>
  <si>
    <t>US-WV-1015</t>
  </si>
  <si>
    <t>US-WV-03248</t>
  </si>
  <si>
    <t xml:space="preserve">Little Low Place </t>
  </si>
  <si>
    <t>Randolph</t>
  </si>
  <si>
    <t>Whitmer</t>
  </si>
  <si>
    <t>079°34'14.1"W</t>
  </si>
  <si>
    <t>38°47'48.6"N</t>
  </si>
  <si>
    <t>US-WV-1099</t>
  </si>
  <si>
    <t>US-WV-03608</t>
  </si>
  <si>
    <t>Waiteville</t>
  </si>
  <si>
    <t>080°28'40.4"W</t>
  </si>
  <si>
    <t>37°28'05.6"N</t>
  </si>
  <si>
    <t>US-WV-1134</t>
  </si>
  <si>
    <t>US-WV-03711</t>
  </si>
  <si>
    <t xml:space="preserve">Low Place </t>
  </si>
  <si>
    <t>079°36'12.3"W</t>
  </si>
  <si>
    <t>38°45'27.8"N</t>
  </si>
  <si>
    <t>US-WV-1159</t>
  </si>
  <si>
    <t>US-WV-03802</t>
  </si>
  <si>
    <t xml:space="preserve">Cromer Top </t>
  </si>
  <si>
    <t>Mill Creek</t>
  </si>
  <si>
    <t>US Rte 250</t>
  </si>
  <si>
    <t>079°55'28.8"W</t>
  </si>
  <si>
    <t>38°37'50.3"N</t>
  </si>
  <si>
    <t>US-WY-1115</t>
  </si>
  <si>
    <t>US-WY-03658</t>
  </si>
  <si>
    <t xml:space="preserve">Norgrain Hill </t>
  </si>
  <si>
    <t>WY</t>
  </si>
  <si>
    <t>Crook</t>
  </si>
  <si>
    <t>Slaughter Reservoir</t>
  </si>
  <si>
    <t>104°05'46.5"W</t>
  </si>
  <si>
    <t>44°41'59.5"N</t>
  </si>
  <si>
    <t>The name indicates the hill and not a gap/pass</t>
  </si>
  <si>
    <t>US-WY-1209</t>
  </si>
  <si>
    <t>US-WY-03944</t>
  </si>
  <si>
    <t xml:space="preserve">Sheldon Hil </t>
  </si>
  <si>
    <t>Niobrara</t>
  </si>
  <si>
    <t>Threemile Butte</t>
  </si>
  <si>
    <t>104°28'36.8"W</t>
  </si>
  <si>
    <t>43°24'40.9"N</t>
  </si>
  <si>
    <t>US-WY-1216</t>
  </si>
  <si>
    <t>US-WY-03989</t>
  </si>
  <si>
    <t xml:space="preserve">Twentyone Divide </t>
  </si>
  <si>
    <t>Twentyone Divide</t>
  </si>
  <si>
    <t>104°04'24.8"W</t>
  </si>
  <si>
    <t>43°27'41.7"N</t>
  </si>
  <si>
    <t>No pass/gap here. Just the ridge in USBGN</t>
  </si>
  <si>
    <t>US-WY-1327</t>
  </si>
  <si>
    <t>US-WY-04350</t>
  </si>
  <si>
    <t xml:space="preserve">Brimmer Divide </t>
  </si>
  <si>
    <t>Sherrard Hill</t>
  </si>
  <si>
    <t>104°37'26.2"W</t>
  </si>
  <si>
    <t>44°35'56.7"N</t>
  </si>
  <si>
    <t>US-WY-1359</t>
  </si>
  <si>
    <t>US-WY-04459a</t>
  </si>
  <si>
    <t xml:space="preserve">Shale Hill </t>
  </si>
  <si>
    <t>Weston</t>
  </si>
  <si>
    <t>Thornton</t>
  </si>
  <si>
    <t>104°41'52.6"W</t>
  </si>
  <si>
    <t>44°09'04.0"N</t>
  </si>
  <si>
    <t>US-WY-1362</t>
  </si>
  <si>
    <t>US-WY-04459</t>
  </si>
  <si>
    <t xml:space="preserve">Norris Divide </t>
  </si>
  <si>
    <t>Linden</t>
  </si>
  <si>
    <t>104°35'37.7"W</t>
  </si>
  <si>
    <t>44°16'30.7"N</t>
  </si>
  <si>
    <t>US-WY-1415</t>
  </si>
  <si>
    <t>US-WY-04639</t>
  </si>
  <si>
    <t xml:space="preserve">Indian Creek Divide </t>
  </si>
  <si>
    <t>Johnson</t>
  </si>
  <si>
    <t>Ploessers Draw</t>
  </si>
  <si>
    <t>106°16'53.1"W</t>
  </si>
  <si>
    <t>44°08'34.9"N</t>
  </si>
  <si>
    <t>US-WY-1422</t>
  </si>
  <si>
    <t>US-WY-04659</t>
  </si>
  <si>
    <t xml:space="preserve">Butte Divide </t>
  </si>
  <si>
    <t>Missouri Buttes</t>
  </si>
  <si>
    <t>104°45'24.9"W</t>
  </si>
  <si>
    <t>44°37'12.8"N</t>
  </si>
  <si>
    <t>US-WY-1442</t>
  </si>
  <si>
    <t>US-WY-04721</t>
  </si>
  <si>
    <t xml:space="preserve">Newman Divide </t>
  </si>
  <si>
    <t>104°36'29.4"W</t>
  </si>
  <si>
    <t>44°21'49.2"N</t>
  </si>
  <si>
    <t>US-WY-1478</t>
  </si>
  <si>
    <t>US-WY-04839</t>
  </si>
  <si>
    <t xml:space="preserve">Sunny Divide </t>
  </si>
  <si>
    <t>Wonder View</t>
  </si>
  <si>
    <t>U.S.A. 14 &amp; Chemin</t>
  </si>
  <si>
    <t>104°38'24.0"W</t>
  </si>
  <si>
    <t>44°27'08.8"N</t>
  </si>
  <si>
    <t>US-WY-1529</t>
  </si>
  <si>
    <t>US-WY-05010</t>
  </si>
  <si>
    <t xml:space="preserve">Coal Divide </t>
  </si>
  <si>
    <t>104°30'22.1"W</t>
  </si>
  <si>
    <t>44°20'37.3"N</t>
  </si>
  <si>
    <t>US-WY-1546</t>
  </si>
  <si>
    <t>US-WY-05066</t>
  </si>
  <si>
    <t xml:space="preserve">Harvey Divide </t>
  </si>
  <si>
    <t>The Rocks</t>
  </si>
  <si>
    <t>104°32'33.5"W</t>
  </si>
  <si>
    <t>44°22'50.9"N</t>
  </si>
  <si>
    <t>US-WY-1581</t>
  </si>
  <si>
    <t>US-WY-05180</t>
  </si>
  <si>
    <t xml:space="preserve">Port Divide </t>
  </si>
  <si>
    <t>104°33'16.0"W</t>
  </si>
  <si>
    <t>44°25'29.9"N</t>
  </si>
  <si>
    <t>US-WY-1583</t>
  </si>
  <si>
    <t>US-WY-05270</t>
  </si>
  <si>
    <t xml:space="preserve">Bar C Gap </t>
  </si>
  <si>
    <t>Hole-in-the-Wall</t>
  </si>
  <si>
    <t>106°51'47.0"W</t>
  </si>
  <si>
    <t>43°36'25.3"N</t>
  </si>
  <si>
    <t>US-WY-1586</t>
  </si>
  <si>
    <t>US-WY-05200</t>
  </si>
  <si>
    <t xml:space="preserve">Williams Divide </t>
  </si>
  <si>
    <t>Red Canyon Creek</t>
  </si>
  <si>
    <t>104°12'29.2"W</t>
  </si>
  <si>
    <t>44°22'49.8"N</t>
  </si>
  <si>
    <t>US-WY-1600</t>
  </si>
  <si>
    <t>US-WY-05249</t>
  </si>
  <si>
    <t>Six Horse Hill</t>
  </si>
  <si>
    <t>Natrona</t>
  </si>
  <si>
    <t>Dead Woman Crossing</t>
  </si>
  <si>
    <t>106°16'09.1"W</t>
  </si>
  <si>
    <t>43°32'44.9"N</t>
  </si>
  <si>
    <t>US-WY-1620</t>
  </si>
  <si>
    <t>US-WY-05435</t>
  </si>
  <si>
    <t xml:space="preserve">Tonys Gulch </t>
  </si>
  <si>
    <t>108°39'46.4"W</t>
  </si>
  <si>
    <t>42°47'22.5"N</t>
  </si>
  <si>
    <t>This indicates rather the gully than a gap/pass</t>
  </si>
  <si>
    <t>US-WY-1628</t>
  </si>
  <si>
    <t>US-WY-05357</t>
  </si>
  <si>
    <t>Indian Pass</t>
  </si>
  <si>
    <t>109°06'25.7"W</t>
  </si>
  <si>
    <t>44°29'13.3"N</t>
  </si>
  <si>
    <t>US-WY-1631</t>
  </si>
  <si>
    <t>US-WY-05358</t>
  </si>
  <si>
    <t xml:space="preserve">Rupe Hill </t>
  </si>
  <si>
    <t>Sundance West</t>
  </si>
  <si>
    <t>U.S.A. 14</t>
  </si>
  <si>
    <t>104°26'57.3"W</t>
  </si>
  <si>
    <t>44°24'00.3"N</t>
  </si>
  <si>
    <t>US-WY-1638</t>
  </si>
  <si>
    <t>US-WY-05361</t>
  </si>
  <si>
    <t xml:space="preserve">Monument Hill </t>
  </si>
  <si>
    <t>Hot Springs</t>
  </si>
  <si>
    <t>Coyote Hill</t>
  </si>
  <si>
    <t>107°56'39.9"W</t>
  </si>
  <si>
    <t>43°39'18.4"N</t>
  </si>
  <si>
    <t>US-WY-1652</t>
  </si>
  <si>
    <t>US-WY-05420</t>
  </si>
  <si>
    <t xml:space="preserve">Cheyenne River Divide </t>
  </si>
  <si>
    <t>Converse</t>
  </si>
  <si>
    <t>Suicide Hill</t>
  </si>
  <si>
    <t>105°43'01.7"W</t>
  </si>
  <si>
    <t>43°14'10.4"N</t>
  </si>
  <si>
    <t>US-WY-1673</t>
  </si>
  <si>
    <t>US-WY-05485</t>
  </si>
  <si>
    <t xml:space="preserve">Whistle Berry Hill </t>
  </si>
  <si>
    <t>Wilson Spring</t>
  </si>
  <si>
    <t>108°38'27.2"W</t>
  </si>
  <si>
    <t>44°08'14.6"N</t>
  </si>
  <si>
    <t>US-WY-1681</t>
  </si>
  <si>
    <t>US-WY-05508</t>
  </si>
  <si>
    <t xml:space="preserve">Ellsbury Divide </t>
  </si>
  <si>
    <t>Black Hills</t>
  </si>
  <si>
    <t>104°26'44.0"W</t>
  </si>
  <si>
    <t>44°32'59.1"N</t>
  </si>
  <si>
    <t>US-WY-1711</t>
  </si>
  <si>
    <t>US-WY-05600a</t>
  </si>
  <si>
    <t xml:space="preserve">Reeder Hill </t>
  </si>
  <si>
    <t>Platte</t>
  </si>
  <si>
    <t>Esterbrook</t>
  </si>
  <si>
    <t>105°15'35.1"W</t>
  </si>
  <si>
    <t>42°26'14.2"N</t>
  </si>
  <si>
    <t>US-WY-1807</t>
  </si>
  <si>
    <t>US-WY-05928</t>
  </si>
  <si>
    <t xml:space="preserve">Grandview Hill </t>
  </si>
  <si>
    <t>Tinton</t>
  </si>
  <si>
    <t>104°03'10.8"W</t>
  </si>
  <si>
    <t>44°23'16.0"N</t>
  </si>
  <si>
    <t>US-WY-1809</t>
  </si>
  <si>
    <t>US-WY-05899</t>
  </si>
  <si>
    <t xml:space="preserve">Sunshine Hill </t>
  </si>
  <si>
    <t>104°03'08.1"W</t>
  </si>
  <si>
    <t>44°22'59.4"N</t>
  </si>
  <si>
    <t>US-WY-1818</t>
  </si>
  <si>
    <t>US-WY-05961</t>
  </si>
  <si>
    <t xml:space="preserve">Moneta Divide </t>
  </si>
  <si>
    <t>Seventy One Reservoir</t>
  </si>
  <si>
    <t>107°43'37.3"W</t>
  </si>
  <si>
    <t>43°02'23.9"N</t>
  </si>
  <si>
    <t>US-WY-1820</t>
  </si>
  <si>
    <t>US-WY-05915</t>
  </si>
  <si>
    <t xml:space="preserve">Negro Hill </t>
  </si>
  <si>
    <t>104°03'05.7"W</t>
  </si>
  <si>
    <t>US-WY-1820a</t>
  </si>
  <si>
    <t>US-WY-06075</t>
  </si>
  <si>
    <t>Independence Rock</t>
  </si>
  <si>
    <t>107°12'36.0"W</t>
  </si>
  <si>
    <t>42°26'56.0"N</t>
  </si>
  <si>
    <t>US-WY-1970</t>
  </si>
  <si>
    <t>US-WY-06493</t>
  </si>
  <si>
    <t xml:space="preserve">Menter Hill </t>
  </si>
  <si>
    <t>Reese Mountain</t>
  </si>
  <si>
    <t>105°18'00.4"W</t>
  </si>
  <si>
    <t>42°04'45.1"N</t>
  </si>
  <si>
    <t>US-WY-1987</t>
  </si>
  <si>
    <t>US-WY-06510</t>
  </si>
  <si>
    <t xml:space="preserve">Blue Gap </t>
  </si>
  <si>
    <t>Blue Gap</t>
  </si>
  <si>
    <t>Wy-789</t>
  </si>
  <si>
    <t>107°42'59.0"W</t>
  </si>
  <si>
    <t>41°15'38.0"N</t>
  </si>
  <si>
    <t>US-WY-1996</t>
  </si>
  <si>
    <t>US-WY-06555</t>
  </si>
  <si>
    <t>Weiser Pass</t>
  </si>
  <si>
    <t>108°30'47.0"W</t>
  </si>
  <si>
    <t>42°38'24.8"N</t>
  </si>
  <si>
    <t>US-WY-2174a</t>
  </si>
  <si>
    <t>US-WY-07159</t>
  </si>
  <si>
    <t>Windy Hill</t>
  </si>
  <si>
    <t>Jawbone Ranch</t>
  </si>
  <si>
    <t>107°42'02.3"W</t>
  </si>
  <si>
    <t>41°48'42.7"N</t>
  </si>
  <si>
    <t>US-WY-2178</t>
  </si>
  <si>
    <t>US-WY-07114</t>
  </si>
  <si>
    <t xml:space="preserve">Simpson Gap </t>
  </si>
  <si>
    <t>106°27'08.6"W</t>
  </si>
  <si>
    <t>41°50'03.8"N</t>
  </si>
  <si>
    <t>US-WY-2185</t>
  </si>
  <si>
    <t>US-WY-07283</t>
  </si>
  <si>
    <t xml:space="preserve">Kingman Pass </t>
  </si>
  <si>
    <t>Mammoth</t>
  </si>
  <si>
    <t>Grand Loop Rd</t>
  </si>
  <si>
    <t>110°43'21.6"W</t>
  </si>
  <si>
    <t>44°56'07.6"N</t>
  </si>
  <si>
    <t>Yellowstone National Park (Road)</t>
  </si>
  <si>
    <t>US-WY-2194</t>
  </si>
  <si>
    <t>US-WY-07188</t>
  </si>
  <si>
    <t xml:space="preserve">Beaver Divide </t>
  </si>
  <si>
    <t>Tin Cup Mountain</t>
  </si>
  <si>
    <t>107°55'59.9"W</t>
  </si>
  <si>
    <t>42°44'19.4"N</t>
  </si>
  <si>
    <t>US-WY-2200</t>
  </si>
  <si>
    <t>US-WY-07214</t>
  </si>
  <si>
    <t xml:space="preserve">Burro Hill </t>
  </si>
  <si>
    <t>Teton</t>
  </si>
  <si>
    <t>Rosies Ridge</t>
  </si>
  <si>
    <t>110°22'12.7"W</t>
  </si>
  <si>
    <t>43°50'17.2"N</t>
  </si>
  <si>
    <t>US-WY-2211</t>
  </si>
  <si>
    <t>US-WY-07251</t>
  </si>
  <si>
    <t xml:space="preserve">Twelvemile Hill </t>
  </si>
  <si>
    <t>Caldwell Lake</t>
  </si>
  <si>
    <t>SR 230</t>
  </si>
  <si>
    <t>105°46'23.3"W</t>
  </si>
  <si>
    <t>41°12'52.8"N</t>
  </si>
  <si>
    <t>US-WY-2224</t>
  </si>
  <si>
    <t>US-WY-07296</t>
  </si>
  <si>
    <t xml:space="preserve">Red Hill </t>
  </si>
  <si>
    <t>Howell</t>
  </si>
  <si>
    <t>105°32'31.9"W</t>
  </si>
  <si>
    <t>41°25'00.9"N</t>
  </si>
  <si>
    <t>US-WY-2232</t>
  </si>
  <si>
    <t>US-WY-07319</t>
  </si>
  <si>
    <t xml:space="preserve">Uhl Hill </t>
  </si>
  <si>
    <t>Davis Hill</t>
  </si>
  <si>
    <t>110°28'59.9"W</t>
  </si>
  <si>
    <t>43°48'48.6"N</t>
  </si>
  <si>
    <t>Grand Teton National Park</t>
  </si>
  <si>
    <t>US-WY-2232a</t>
  </si>
  <si>
    <t>US-WY-07363</t>
  </si>
  <si>
    <t xml:space="preserve">Bitch Creek Narrows </t>
  </si>
  <si>
    <t>Grand Teton NG</t>
  </si>
  <si>
    <t>110°53'35.0"W</t>
  </si>
  <si>
    <t>43°56'13.0"N</t>
  </si>
  <si>
    <t>Jedediah Smith Wilderness</t>
  </si>
  <si>
    <t>US-WY-2272</t>
  </si>
  <si>
    <t>US-WY-07457</t>
  </si>
  <si>
    <t xml:space="preserve">Deer Creek-Dry Creek Divide </t>
  </si>
  <si>
    <t>Ervay Basin SW</t>
  </si>
  <si>
    <t>107°23'05.0"W</t>
  </si>
  <si>
    <t>42°48'44.4"N</t>
  </si>
  <si>
    <t>US-WY-2334</t>
  </si>
  <si>
    <t>US-WY-07667</t>
  </si>
  <si>
    <t xml:space="preserve">Swamp Creek Hill </t>
  </si>
  <si>
    <t>Sheridan</t>
  </si>
  <si>
    <t>Park Reservoir</t>
  </si>
  <si>
    <t>732 Red Grade Rd (Cr 26)</t>
  </si>
  <si>
    <t>107°10'02.3"W</t>
  </si>
  <si>
    <t>44°37'18.9"N</t>
  </si>
  <si>
    <t>US-WY-2415</t>
  </si>
  <si>
    <t>US-WY-07944</t>
  </si>
  <si>
    <t xml:space="preserve">The Rim </t>
  </si>
  <si>
    <t>Sublette</t>
  </si>
  <si>
    <t>Pass Peak</t>
  </si>
  <si>
    <t>U.S.A. 189</t>
  </si>
  <si>
    <t>110°11'59.2"W</t>
  </si>
  <si>
    <t>43°07'58.6"N</t>
  </si>
  <si>
    <t>US-WY-2440</t>
  </si>
  <si>
    <t>US-WY-08155</t>
  </si>
  <si>
    <t xml:space="preserve">The Slip </t>
  </si>
  <si>
    <t>Fraker Mountain</t>
  </si>
  <si>
    <t>106°57'23.3"W</t>
  </si>
  <si>
    <t>43°51'33.7"N</t>
  </si>
  <si>
    <t>US-WY-2537a</t>
  </si>
  <si>
    <t>US-WY-08323</t>
  </si>
  <si>
    <t xml:space="preserve">Markley Hill </t>
  </si>
  <si>
    <t>Sherman Mountains West</t>
  </si>
  <si>
    <t>3269 Rd 210</t>
  </si>
  <si>
    <t>105°22'46.7"W</t>
  </si>
  <si>
    <t>41°14'24.6"N</t>
  </si>
  <si>
    <t>US-WY-2542</t>
  </si>
  <si>
    <t>US-WY-08346</t>
  </si>
  <si>
    <t xml:space="preserve">Cutler Hill </t>
  </si>
  <si>
    <t>Skull Ridge</t>
  </si>
  <si>
    <t>US 14</t>
  </si>
  <si>
    <t>107°26'05.9"W</t>
  </si>
  <si>
    <t>44°47'16.1"N</t>
  </si>
  <si>
    <t>Bighorn National Forest</t>
  </si>
  <si>
    <t>US-WY-2558</t>
  </si>
  <si>
    <t>US-WY-08392</t>
  </si>
  <si>
    <t>Poland Hill</t>
  </si>
  <si>
    <t>105°23'55.0"W</t>
  </si>
  <si>
    <t>41°10'01.0"N</t>
  </si>
  <si>
    <t>US-WY-2637a</t>
  </si>
  <si>
    <t>US-WY-08661</t>
  </si>
  <si>
    <t xml:space="preserve">Sherman Summit </t>
  </si>
  <si>
    <t>Happy Jack Rd</t>
  </si>
  <si>
    <t>105°26'13.8"W</t>
  </si>
  <si>
    <t>US-WY-2771</t>
  </si>
  <si>
    <t>US-WY-09091</t>
  </si>
  <si>
    <t xml:space="preserve">Beartrap Junction </t>
  </si>
  <si>
    <t>Lookout Mountain</t>
  </si>
  <si>
    <t>110°34'07.5"W</t>
  </si>
  <si>
    <t>42°55'50.9"N</t>
  </si>
  <si>
    <t>US-WY-2912</t>
  </si>
  <si>
    <t>US-WY-09650</t>
  </si>
  <si>
    <t xml:space="preserve">Togwotee Pass </t>
  </si>
  <si>
    <t>Togwotee Pass</t>
  </si>
  <si>
    <t>110°04'05.8"W</t>
  </si>
  <si>
    <t>43°45'10.8"N</t>
  </si>
  <si>
    <t>US-WY-3201</t>
  </si>
  <si>
    <t>US-WY-10479</t>
  </si>
  <si>
    <t xml:space="preserve">Static Peak Divide </t>
  </si>
  <si>
    <t>Grand Teton</t>
  </si>
  <si>
    <t>110°49'45.7"W</t>
  </si>
  <si>
    <t>43°41'13.9"N</t>
  </si>
  <si>
    <t>Source invalid (Wikipedia)</t>
  </si>
  <si>
    <t>US-ID-04370</t>
  </si>
  <si>
    <t xml:space="preserve">White Bird Hill </t>
  </si>
  <si>
    <t>White Bird Hill</t>
  </si>
  <si>
    <t>U.S.A. 95 &amp; ULR</t>
  </si>
  <si>
    <t>116°14'16.5"W</t>
  </si>
  <si>
    <t>45°50'41.7"N</t>
  </si>
  <si>
    <t>US-ID-1391</t>
  </si>
  <si>
    <t>US-ID-04561</t>
  </si>
  <si>
    <t xml:space="preserve">Lemhi Pass </t>
  </si>
  <si>
    <t>Bingham</t>
  </si>
  <si>
    <t>Baldy Knoll</t>
  </si>
  <si>
    <t>651 N 700 W</t>
  </si>
  <si>
    <t>112°25'29.4"W</t>
  </si>
  <si>
    <t>43°17'29.7"N</t>
  </si>
  <si>
    <t>US-ID-1407</t>
  </si>
  <si>
    <t>US-ID-04616</t>
  </si>
  <si>
    <t xml:space="preserve">Lockwood Saddle </t>
  </si>
  <si>
    <t>Adams</t>
  </si>
  <si>
    <t>White Monument</t>
  </si>
  <si>
    <t>116°39'04.0"W</t>
  </si>
  <si>
    <t>45°17'53.0"N</t>
  </si>
  <si>
    <t>Hells Canyon Wilderness</t>
  </si>
  <si>
    <t>US-ID-1722</t>
  </si>
  <si>
    <t>US-ID-05647</t>
  </si>
  <si>
    <t>Imnamatnoon Likoolam</t>
  </si>
  <si>
    <t>Papoose Saddle</t>
  </si>
  <si>
    <t>Rocky Point</t>
  </si>
  <si>
    <t>114°43'56.9"W</t>
  </si>
  <si>
    <t>46°35'11.2"N</t>
  </si>
  <si>
    <t>Descriptor not valid. Likoolam = "ridge" in Nez Percé tribal language</t>
  </si>
  <si>
    <t>US-ID-1777</t>
  </si>
  <si>
    <t>US-ID-05830a</t>
  </si>
  <si>
    <t xml:space="preserve">Elk Summit </t>
  </si>
  <si>
    <t>Cedar Ridge</t>
  </si>
  <si>
    <t>114°39'09.9"W</t>
  </si>
  <si>
    <t>46°19'22.6"N</t>
  </si>
  <si>
    <t>Name on map does not seem to indicate a pass; Not in USBGN</t>
  </si>
  <si>
    <t>US-ID-1900</t>
  </si>
  <si>
    <t>US-ID-06312</t>
  </si>
  <si>
    <t xml:space="preserve">Summit Springs Pass </t>
  </si>
  <si>
    <t>Oneida</t>
  </si>
  <si>
    <t>Sublett Troughs</t>
  </si>
  <si>
    <t>112°56'12.0"W</t>
  </si>
  <si>
    <t>42°17'47.7"N</t>
  </si>
  <si>
    <t>According to USBGN coordinates this is a defile</t>
  </si>
  <si>
    <t>US-ID-1981</t>
  </si>
  <si>
    <t>US-ID-06471</t>
  </si>
  <si>
    <t xml:space="preserve">Remount </t>
  </si>
  <si>
    <t>Coolwater Mountain</t>
  </si>
  <si>
    <t>115°24'54.0"W</t>
  </si>
  <si>
    <t>46°08'23.2"N</t>
  </si>
  <si>
    <t>US-ID-2074</t>
  </si>
  <si>
    <t>US-ID-07112</t>
  </si>
  <si>
    <t xml:space="preserve">Devils Gate </t>
  </si>
  <si>
    <t>Caribou</t>
  </si>
  <si>
    <t>Grizzly Creek</t>
  </si>
  <si>
    <t>111°49'49.8"W</t>
  </si>
  <si>
    <t>42°53'51.7"N</t>
  </si>
  <si>
    <t>A defile at the coordinates of USBGN</t>
  </si>
  <si>
    <t>US-ID-2134</t>
  </si>
  <si>
    <t>US-ID-07000</t>
  </si>
  <si>
    <t xml:space="preserve">Granite Pass </t>
  </si>
  <si>
    <t>Cassia</t>
  </si>
  <si>
    <t>Cotton Thomas Basin</t>
  </si>
  <si>
    <t>113°51'26.0"W</t>
  </si>
  <si>
    <t>41°39'32.0"N</t>
  </si>
  <si>
    <t>US-ID-2181a</t>
  </si>
  <si>
    <t>US-ID-07155</t>
  </si>
  <si>
    <t xml:space="preserve">Oxbow Saddle </t>
  </si>
  <si>
    <t>Purgatory Saddle</t>
  </si>
  <si>
    <t>116°36'00.5"W</t>
  </si>
  <si>
    <t>45°14'07.6"N</t>
  </si>
  <si>
    <t>Not a pass/gap at the USBGN coordinates</t>
  </si>
  <si>
    <t>US-ID-2267</t>
  </si>
  <si>
    <t>US-ID-07434</t>
  </si>
  <si>
    <t xml:space="preserve">Emigration Pass </t>
  </si>
  <si>
    <t>Franklin</t>
  </si>
  <si>
    <t>Midnight Mountain</t>
  </si>
  <si>
    <t>ULR 36</t>
  </si>
  <si>
    <t>111°33'37.9"W</t>
  </si>
  <si>
    <t>42°21'52.7"N</t>
  </si>
  <si>
    <t>US-ID-2317</t>
  </si>
  <si>
    <t>US-ID-07595</t>
  </si>
  <si>
    <t xml:space="preserve">Sleepy Hollow </t>
  </si>
  <si>
    <t>Sheepeater Mountain</t>
  </si>
  <si>
    <t>115°21'44.0"W</t>
  </si>
  <si>
    <t>45°23'03.0"N</t>
  </si>
  <si>
    <t>Selway-Bitterroot Wilderness</t>
  </si>
  <si>
    <t>US-ID-2411</t>
  </si>
  <si>
    <t>US-ID-07987</t>
  </si>
  <si>
    <t xml:space="preserve">Rainbow Saddle </t>
  </si>
  <si>
    <t>Valley</t>
  </si>
  <si>
    <t>Caton Lake</t>
  </si>
  <si>
    <t>115°30'36.4"W</t>
  </si>
  <si>
    <t>44°58'57.7"N</t>
  </si>
  <si>
    <t>US-ID-2662</t>
  </si>
  <si>
    <t>US-ID-08733</t>
  </si>
  <si>
    <t xml:space="preserve">Corral Creek Summit </t>
  </si>
  <si>
    <t>Lehman Butte</t>
  </si>
  <si>
    <t>113°47'44.0"W</t>
  </si>
  <si>
    <t>43°54'20.1"N</t>
  </si>
  <si>
    <t>The USGS map seems to name the hill summit and not the road</t>
  </si>
  <si>
    <t>US-ID-3061</t>
  </si>
  <si>
    <t>US-ID-07977</t>
  </si>
  <si>
    <t xml:space="preserve">Windy Devil </t>
  </si>
  <si>
    <t>Boulder Chain Lakes</t>
  </si>
  <si>
    <t>114°35'43.8"W</t>
  </si>
  <si>
    <t>44°04'13.2"N</t>
  </si>
  <si>
    <t>White Clouds Wilderrness</t>
  </si>
  <si>
    <t>US-ID-3152</t>
  </si>
  <si>
    <t>US-ID-10280</t>
  </si>
  <si>
    <t xml:space="preserve">The Gunsight </t>
  </si>
  <si>
    <t>Livingston Creek</t>
  </si>
  <si>
    <t>114°36'21.8"W</t>
  </si>
  <si>
    <t>44°07'45.4"N</t>
  </si>
  <si>
    <t>White Clouds Wilderness</t>
  </si>
  <si>
    <t>US-IN-0149</t>
  </si>
  <si>
    <t>US-IN-00504</t>
  </si>
  <si>
    <t>IN</t>
  </si>
  <si>
    <t>Harrison</t>
  </si>
  <si>
    <t>Rock Haven</t>
  </si>
  <si>
    <t>086°02'22.0"W</t>
  </si>
  <si>
    <t>37°58'29.0"N</t>
  </si>
  <si>
    <t>US-KY-0207</t>
  </si>
  <si>
    <t>US-KY-00669</t>
  </si>
  <si>
    <t xml:space="preserve">Kentucky Gap </t>
  </si>
  <si>
    <t>KY</t>
  </si>
  <si>
    <t>Elliott</t>
  </si>
  <si>
    <t>Bruin</t>
  </si>
  <si>
    <t>Ky-504 &amp; Ky-649</t>
  </si>
  <si>
    <t>083°05'23.0"W</t>
  </si>
  <si>
    <t>38°09'58.0"N</t>
  </si>
  <si>
    <t>US-KY-0214</t>
  </si>
  <si>
    <t>US-KY-00788</t>
  </si>
  <si>
    <t>Marion</t>
  </si>
  <si>
    <t>Lebanon East</t>
  </si>
  <si>
    <t>Narrows Rd</t>
  </si>
  <si>
    <t>085°07'52.9"W</t>
  </si>
  <si>
    <t>37°30'05.3"N</t>
  </si>
  <si>
    <t>River gap at coordinates of USBGN</t>
  </si>
  <si>
    <t>US-KY-0308a</t>
  </si>
  <si>
    <t>US-KY-01076</t>
  </si>
  <si>
    <t xml:space="preserve">Deep Cut </t>
  </si>
  <si>
    <t>Carter</t>
  </si>
  <si>
    <t>Wesleyville</t>
  </si>
  <si>
    <t>7386 Trace Rd Ky-1149</t>
  </si>
  <si>
    <t>083°12'03.7"W</t>
  </si>
  <si>
    <t>38°27'24.0"N</t>
  </si>
  <si>
    <t>No pass/gap at coordinates of USBGN</t>
  </si>
  <si>
    <t>US-KY-0312</t>
  </si>
  <si>
    <t>US-KY-01027</t>
  </si>
  <si>
    <t xml:space="preserve">Caney Gap </t>
  </si>
  <si>
    <t>Clinton</t>
  </si>
  <si>
    <t>Albany</t>
  </si>
  <si>
    <t>U.S.A. 127 (Cross St)</t>
  </si>
  <si>
    <t>085°08'00.3"W</t>
  </si>
  <si>
    <t>36°43'47.2"N</t>
  </si>
  <si>
    <t>US-KY-0344</t>
  </si>
  <si>
    <t>US-KY-01133</t>
  </si>
  <si>
    <t xml:space="preserve">Big Cutoff </t>
  </si>
  <si>
    <t>McCreary</t>
  </si>
  <si>
    <t>Nevelsville</t>
  </si>
  <si>
    <t>084°31'07.2"W</t>
  </si>
  <si>
    <t>36°50'40.6"N</t>
  </si>
  <si>
    <t>US-KY-0380</t>
  </si>
  <si>
    <t>US-KY-01223</t>
  </si>
  <si>
    <t xml:space="preserve">The Gulf </t>
  </si>
  <si>
    <t>Ky-927 The Day Ridge Rd</t>
  </si>
  <si>
    <t>084°31'50.4"W</t>
  </si>
  <si>
    <t>36°50'22.1"N</t>
  </si>
  <si>
    <t>US-KY-0429</t>
  </si>
  <si>
    <t>US-KY-01407</t>
  </si>
  <si>
    <t xml:space="preserve">Poplar Gap </t>
  </si>
  <si>
    <t>Rockcastle</t>
  </si>
  <si>
    <t>Johnetta</t>
  </si>
  <si>
    <t>084°13'04.0"W</t>
  </si>
  <si>
    <t>37°23'38.0"N</t>
  </si>
  <si>
    <t>US-KY-0598a</t>
  </si>
  <si>
    <t>US-KY-02374</t>
  </si>
  <si>
    <t xml:space="preserve">Clover Gap </t>
  </si>
  <si>
    <t>Harlan</t>
  </si>
  <si>
    <t>Nolansburg</t>
  </si>
  <si>
    <t>083°08'46.6"W</t>
  </si>
  <si>
    <t>36°54'33.3"N</t>
  </si>
  <si>
    <t>Defile according to USBGN coordinates</t>
  </si>
  <si>
    <t>US-KY-0782</t>
  </si>
  <si>
    <t>US-KY-02562</t>
  </si>
  <si>
    <t xml:space="preserve">McLin Notch </t>
  </si>
  <si>
    <t>VA</t>
  </si>
  <si>
    <t>Ewing</t>
  </si>
  <si>
    <t>083°23'43.0"W</t>
  </si>
  <si>
    <t>36°40'41.0"N</t>
  </si>
  <si>
    <t>US-KY-0856a</t>
  </si>
  <si>
    <t>US-KY-02810</t>
  </si>
  <si>
    <t xml:space="preserve">Gibsons Gap </t>
  </si>
  <si>
    <t>Bell</t>
  </si>
  <si>
    <t>Varilla</t>
  </si>
  <si>
    <t>083°36'15.0"W</t>
  </si>
  <si>
    <t>36°38'14.0"N</t>
  </si>
  <si>
    <t>US-KY-0929</t>
  </si>
  <si>
    <t>US-KY-03039</t>
  </si>
  <si>
    <t xml:space="preserve">Birch Gap </t>
  </si>
  <si>
    <t>Pike</t>
  </si>
  <si>
    <t>Clintwood</t>
  </si>
  <si>
    <t>OT/HS 200m &lt; LR Mullins Rd</t>
  </si>
  <si>
    <t>082°27'24.0"W</t>
  </si>
  <si>
    <t>37°14'19.0"N</t>
  </si>
  <si>
    <t>No pass/gap here - just a summit</t>
  </si>
  <si>
    <t>US-KY-1024</t>
  </si>
  <si>
    <t>US-KY-03360</t>
  </si>
  <si>
    <t>Appalachia</t>
  </si>
  <si>
    <t>082°52'41.1"W</t>
  </si>
  <si>
    <t>36°53'25.9"N</t>
  </si>
  <si>
    <t>US-KY-1083</t>
  </si>
  <si>
    <t>US-KY-03553</t>
  </si>
  <si>
    <t xml:space="preserve">Garrison Gap </t>
  </si>
  <si>
    <t>Benham</t>
  </si>
  <si>
    <t>082°54'04.9"W</t>
  </si>
  <si>
    <t>36°54'44.3"N</t>
  </si>
  <si>
    <t>US-MA-0376</t>
  </si>
  <si>
    <t>US-MA-01257</t>
  </si>
  <si>
    <t>MA</t>
  </si>
  <si>
    <t>Berkshire</t>
  </si>
  <si>
    <t>Pittsfield East</t>
  </si>
  <si>
    <t>073°11'05.6"W</t>
  </si>
  <si>
    <t>42°29'17.8"N</t>
  </si>
  <si>
    <t>US-MA-0670</t>
  </si>
  <si>
    <t>US-MA-02198</t>
  </si>
  <si>
    <t xml:space="preserve">The Bellows Pipe </t>
  </si>
  <si>
    <t>Williamstown</t>
  </si>
  <si>
    <t>073°09'03.5"W</t>
  </si>
  <si>
    <t>42°38'39.4"N</t>
  </si>
  <si>
    <t>US-ME-0370</t>
  </si>
  <si>
    <t>US-ME-01212</t>
  </si>
  <si>
    <t xml:space="preserve">Pogy Notch </t>
  </si>
  <si>
    <t>ME</t>
  </si>
  <si>
    <t>Piscataquis</t>
  </si>
  <si>
    <t>Wassataquoik La</t>
  </si>
  <si>
    <t>068°53'21.2"W</t>
  </si>
  <si>
    <t>46°03'17.4"N</t>
  </si>
  <si>
    <t>From the positioning of the name this indicates rather the gash/defile</t>
  </si>
  <si>
    <t>US-ME-0443</t>
  </si>
  <si>
    <t>US-ME-01454</t>
  </si>
  <si>
    <t xml:space="preserve">Dunn Notch </t>
  </si>
  <si>
    <t>Oxford</t>
  </si>
  <si>
    <t>B Pond</t>
  </si>
  <si>
    <t>070°55'03.4"W</t>
  </si>
  <si>
    <t>44°39'22.2"N</t>
  </si>
  <si>
    <t>US-MN-0285</t>
  </si>
  <si>
    <t>US-MN-00997</t>
  </si>
  <si>
    <t xml:space="preserve">The Tunnel </t>
  </si>
  <si>
    <t>MN</t>
  </si>
  <si>
    <t>Cook</t>
  </si>
  <si>
    <t>Grand Portage</t>
  </si>
  <si>
    <t>OT/HS CR89</t>
  </si>
  <si>
    <t>089°42'60.0"W</t>
  </si>
  <si>
    <t>48°00'51.0"N</t>
  </si>
  <si>
    <t>River gap.</t>
  </si>
  <si>
    <t>US-MT-0976</t>
  </si>
  <si>
    <t>US-MT-03205</t>
  </si>
  <si>
    <t xml:space="preserve">Coal Creek Hill </t>
  </si>
  <si>
    <t>MT</t>
  </si>
  <si>
    <t>Flasted Hill</t>
  </si>
  <si>
    <t>104°13'02.8"W</t>
  </si>
  <si>
    <t>45°52'40.8"N</t>
  </si>
  <si>
    <t>US-MT-1222</t>
  </si>
  <si>
    <t>US-MT-04019</t>
  </si>
  <si>
    <t xml:space="preserve">Rustler Divide </t>
  </si>
  <si>
    <t>Rustler Divide</t>
  </si>
  <si>
    <t>104°12'01.0"W</t>
  </si>
  <si>
    <t>45°41'49.2"N</t>
  </si>
  <si>
    <t>US-MT-1323</t>
  </si>
  <si>
    <t>US-MT-04340</t>
  </si>
  <si>
    <t xml:space="preserve">Blankenbaker Hill </t>
  </si>
  <si>
    <t>Mahoney Hill</t>
  </si>
  <si>
    <t>111°04'22.2"W</t>
  </si>
  <si>
    <t>47°15'52.6"N</t>
  </si>
  <si>
    <t>US-MT-1498</t>
  </si>
  <si>
    <t>US-MT-04911</t>
  </si>
  <si>
    <t xml:space="preserve">The Divide </t>
  </si>
  <si>
    <t>Stillwater</t>
  </si>
  <si>
    <t>Lindemulder Hill</t>
  </si>
  <si>
    <t>CR 306</t>
  </si>
  <si>
    <t>109°16'34.9"W</t>
  </si>
  <si>
    <t>45°49'56.2"N</t>
  </si>
  <si>
    <t>US-MT-1532</t>
  </si>
  <si>
    <t>US-MT-05026</t>
  </si>
  <si>
    <t xml:space="preserve">Missouri Cutoff </t>
  </si>
  <si>
    <t>Castagne</t>
  </si>
  <si>
    <t>Missouri Cutoff Rd</t>
  </si>
  <si>
    <t>109°17'30.8"W</t>
  </si>
  <si>
    <t>45°18'02.7"N</t>
  </si>
  <si>
    <t>US-MT-1606</t>
  </si>
  <si>
    <t>US-MT-06083</t>
  </si>
  <si>
    <t xml:space="preserve">Brewster Tyler Saddle </t>
  </si>
  <si>
    <t>Granite</t>
  </si>
  <si>
    <t>Ravenna</t>
  </si>
  <si>
    <t>113°30'28.3"W</t>
  </si>
  <si>
    <t>46°38'12.7"N</t>
  </si>
  <si>
    <t>Not a pass/gap at coordinates of USBGN</t>
  </si>
  <si>
    <t>US-MT-1710</t>
  </si>
  <si>
    <t>US-MT-06023</t>
  </si>
  <si>
    <t xml:space="preserve">Miller Saddle </t>
  </si>
  <si>
    <t>Illinois Peak</t>
  </si>
  <si>
    <t>Cedar Creek Rd No 320</t>
  </si>
  <si>
    <t>115°05'00.5"W</t>
  </si>
  <si>
    <t>47°04'35.7"N</t>
  </si>
  <si>
    <t>US-MT-2002</t>
  </si>
  <si>
    <t>US-MT-06556</t>
  </si>
  <si>
    <t xml:space="preserve">Nezperce Pass </t>
  </si>
  <si>
    <t>Ravalli</t>
  </si>
  <si>
    <t>Bare Cone</t>
  </si>
  <si>
    <t>114°29'18.0"W</t>
  </si>
  <si>
    <t>45°43'20.0"N</t>
  </si>
  <si>
    <t>US-MT-2131</t>
  </si>
  <si>
    <t>US-MT-06974</t>
  </si>
  <si>
    <t xml:space="preserve">Welcome Sawmill Saddle </t>
  </si>
  <si>
    <t>Grizzly Point</t>
  </si>
  <si>
    <t>113°44'50.0"W</t>
  </si>
  <si>
    <t>46°36'29.0"N</t>
  </si>
  <si>
    <t>Welcome Creek Wilderness</t>
  </si>
  <si>
    <t>US-MT-2558</t>
  </si>
  <si>
    <t>US-MT-08359</t>
  </si>
  <si>
    <t xml:space="preserve">Rooster Comb </t>
  </si>
  <si>
    <t>Kent Peak</t>
  </si>
  <si>
    <t>113°48'09.0"W</t>
  </si>
  <si>
    <t>46°02'30.0"N</t>
  </si>
  <si>
    <t>US-NC-0380</t>
  </si>
  <si>
    <t>US-NC-01253</t>
  </si>
  <si>
    <t xml:space="preserve">Gap </t>
  </si>
  <si>
    <t>NC</t>
  </si>
  <si>
    <t>Stokes</t>
  </si>
  <si>
    <t>Hanging Rock</t>
  </si>
  <si>
    <t>State Hwy 66 S &amp; Taylor Rd</t>
  </si>
  <si>
    <t>080°19'31.0"W</t>
  </si>
  <si>
    <t>36°23'12.0"N</t>
  </si>
  <si>
    <t>Just a locale on older USGS maps. Name format does not correspond to USBGN standards which would be "The Gap"</t>
  </si>
  <si>
    <t>US-NC-0746</t>
  </si>
  <si>
    <t>US-NC-02482</t>
  </si>
  <si>
    <t xml:space="preserve">Tobacco Barn Field </t>
  </si>
  <si>
    <t>Henderson</t>
  </si>
  <si>
    <t>Horse Shoe</t>
  </si>
  <si>
    <t>OT/HS 300m &lt; Drive</t>
  </si>
  <si>
    <t>082°31'37.7"W</t>
  </si>
  <si>
    <t>35°15'49.1"N</t>
  </si>
  <si>
    <t>US-NC-0809</t>
  </si>
  <si>
    <t>US-NC-02649</t>
  </si>
  <si>
    <t xml:space="preserve">Ledford Gap </t>
  </si>
  <si>
    <t>Clay</t>
  </si>
  <si>
    <t>Macedonia</t>
  </si>
  <si>
    <t>083°41'50.3"W</t>
  </si>
  <si>
    <t>34°59'37.2"N</t>
  </si>
  <si>
    <t>US-NC-0940</t>
  </si>
  <si>
    <t>US-NC-03080</t>
  </si>
  <si>
    <t xml:space="preserve">Garden Spot </t>
  </si>
  <si>
    <t>Buncombe</t>
  </si>
  <si>
    <t>Bat Cave</t>
  </si>
  <si>
    <t>OT/HS 400m &lt; SR 2799</t>
  </si>
  <si>
    <t>082°15'26.6"W</t>
  </si>
  <si>
    <t>35°27'48.0"N</t>
  </si>
  <si>
    <t>US-NC-0948</t>
  </si>
  <si>
    <t>US-NC-03089</t>
  </si>
  <si>
    <t xml:space="preserve">Miller Gap </t>
  </si>
  <si>
    <t>Ashe</t>
  </si>
  <si>
    <t>Horse Gap</t>
  </si>
  <si>
    <t>Blue Ridge Parkway</t>
  </si>
  <si>
    <t>081°22'30.6"W</t>
  </si>
  <si>
    <t>36°20'38.6"N</t>
  </si>
  <si>
    <t>US-NC-0957b</t>
  </si>
  <si>
    <t>US-NC-03140a</t>
  </si>
  <si>
    <t xml:space="preserve">Deep Gap </t>
  </si>
  <si>
    <t>Watauga</t>
  </si>
  <si>
    <t>Deep Gap</t>
  </si>
  <si>
    <t>081°29'57.0"W</t>
  </si>
  <si>
    <t>36°13'46.0"N</t>
  </si>
  <si>
    <t>US-NC-1018</t>
  </si>
  <si>
    <t>US-NC-03340</t>
  </si>
  <si>
    <t xml:space="preserve">Coots Gap </t>
  </si>
  <si>
    <t>Gooch Gap</t>
  </si>
  <si>
    <t>McDowell</t>
  </si>
  <si>
    <t>Little Switzerland</t>
  </si>
  <si>
    <t>082°06'51.0"W</t>
  </si>
  <si>
    <t>35°50'39.0"N</t>
  </si>
  <si>
    <t>US-NC-1024</t>
  </si>
  <si>
    <t>US-NC-03342</t>
  </si>
  <si>
    <t xml:space="preserve">Sheets Gap </t>
  </si>
  <si>
    <t>081°18'19.5"W</t>
  </si>
  <si>
    <t>36°21'52.0"N</t>
  </si>
  <si>
    <t>US-NC-1041b</t>
  </si>
  <si>
    <t>US-NC-03436</t>
  </si>
  <si>
    <t xml:space="preserve">Whiteoak Flats </t>
  </si>
  <si>
    <t>Swain</t>
  </si>
  <si>
    <t>Whittier</t>
  </si>
  <si>
    <t>083°20'37.6"W</t>
  </si>
  <si>
    <t>35°30'02.5"N</t>
  </si>
  <si>
    <t>Eastern Cherokee Indian Reservation</t>
  </si>
  <si>
    <t>US-NC-1078a</t>
  </si>
  <si>
    <t>US-NC-03537</t>
  </si>
  <si>
    <t xml:space="preserve">Turkey Gap </t>
  </si>
  <si>
    <t>TN</t>
  </si>
  <si>
    <t>Haywood</t>
  </si>
  <si>
    <t>Waterville</t>
  </si>
  <si>
    <t>083°01'59.0"W</t>
  </si>
  <si>
    <t>35°47'11.0"N</t>
  </si>
  <si>
    <t>Appalachian Trail</t>
  </si>
  <si>
    <t>US-NC-1083</t>
  </si>
  <si>
    <t>US-NC-03538</t>
  </si>
  <si>
    <t xml:space="preserve">Sal Patch Gap </t>
  </si>
  <si>
    <t>Sal Patch</t>
  </si>
  <si>
    <t>Cove Creek Gap</t>
  </si>
  <si>
    <t>083°03'28.6"W</t>
  </si>
  <si>
    <t>35°38'21.2"N</t>
  </si>
  <si>
    <t>Great Smoky Mountains National Park</t>
  </si>
  <si>
    <t>US-NC-1087</t>
  </si>
  <si>
    <t>US-NC-03562</t>
  </si>
  <si>
    <t xml:space="preserve">Moody Stamp </t>
  </si>
  <si>
    <t>Cherokee</t>
  </si>
  <si>
    <t>083°52'29.4"W</t>
  </si>
  <si>
    <t>35°14'37.4"N</t>
  </si>
  <si>
    <t>US-NC-1172a</t>
  </si>
  <si>
    <t>US-NC-04797</t>
  </si>
  <si>
    <t xml:space="preserve">Hayes Gap </t>
  </si>
  <si>
    <t>083°58'20.2"W</t>
  </si>
  <si>
    <t>35°11'56.8"N</t>
  </si>
  <si>
    <t>US-NC-1192a</t>
  </si>
  <si>
    <t>US-NC-03884</t>
  </si>
  <si>
    <t xml:space="preserve">Nettie Patch </t>
  </si>
  <si>
    <t>Nettle Patch</t>
  </si>
  <si>
    <t>Celo</t>
  </si>
  <si>
    <t>DR/R Blue Ridge Parkway - (100m)</t>
  </si>
  <si>
    <t>082°08'00.4"W</t>
  </si>
  <si>
    <t>35°49'22.4"N</t>
  </si>
  <si>
    <t>US-NC-1234a</t>
  </si>
  <si>
    <t>US-NC-04049a</t>
  </si>
  <si>
    <t xml:space="preserve">Big Laurel Gap </t>
  </si>
  <si>
    <t>Old Fort</t>
  </si>
  <si>
    <t>082°11'34.1"W</t>
  </si>
  <si>
    <t>35°44'11.6"N</t>
  </si>
  <si>
    <t>US-NC-1314a</t>
  </si>
  <si>
    <t>US-NC-04409</t>
  </si>
  <si>
    <t xml:space="preserve">Rye Patch </t>
  </si>
  <si>
    <t>Cades Cove</t>
  </si>
  <si>
    <t>083°51'06.6"W</t>
  </si>
  <si>
    <t>35°30'15.3"N</t>
  </si>
  <si>
    <t>US-NC-1332b</t>
  </si>
  <si>
    <t>US-NC-04370</t>
  </si>
  <si>
    <t xml:space="preserve">Sassafras Gap </t>
  </si>
  <si>
    <t>Graham</t>
  </si>
  <si>
    <t>Hewitt</t>
  </si>
  <si>
    <t>083°40'03.0"W</t>
  </si>
  <si>
    <t>35°19'53.0"N</t>
  </si>
  <si>
    <t>US-NC-1344</t>
  </si>
  <si>
    <t>US-NC-04385</t>
  </si>
  <si>
    <t>Macon</t>
  </si>
  <si>
    <t>Wayah Bald</t>
  </si>
  <si>
    <t>083°33'16.7"W</t>
  </si>
  <si>
    <t>35°08'09.9"N</t>
  </si>
  <si>
    <t>US-NC-1437</t>
  </si>
  <si>
    <t>US-NC-04701</t>
  </si>
  <si>
    <t xml:space="preserve">Green Knob Gap </t>
  </si>
  <si>
    <t>082°13'35.9"W</t>
  </si>
  <si>
    <t>35°43'05.9"N</t>
  </si>
  <si>
    <t>US-NC-1485</t>
  </si>
  <si>
    <t>US-NC-04867</t>
  </si>
  <si>
    <t xml:space="preserve">Haw Patch </t>
  </si>
  <si>
    <t>Mitchell</t>
  </si>
  <si>
    <t>Bakersville</t>
  </si>
  <si>
    <t>082°10'09.0"W</t>
  </si>
  <si>
    <t>36°04'43.0"N</t>
  </si>
  <si>
    <t>US-NC-1519</t>
  </si>
  <si>
    <t>US-NC-04941</t>
  </si>
  <si>
    <t xml:space="preserve">Potato Patch </t>
  </si>
  <si>
    <t>Dellwood</t>
  </si>
  <si>
    <t>OT/HS 600m &lt; Walkway</t>
  </si>
  <si>
    <t>083°04'39.3"W</t>
  </si>
  <si>
    <t>35°32'54.0"N</t>
  </si>
  <si>
    <t>US-NC-1573</t>
  </si>
  <si>
    <t>US-NC-05133</t>
  </si>
  <si>
    <t xml:space="preserve">Buckeye Gap </t>
  </si>
  <si>
    <t>Avery</t>
  </si>
  <si>
    <t>Carvers Gap</t>
  </si>
  <si>
    <t>082°03'43.8"W</t>
  </si>
  <si>
    <t>36°06'46.0"N</t>
  </si>
  <si>
    <t>US-NC-1577</t>
  </si>
  <si>
    <t>US-NC-05157</t>
  </si>
  <si>
    <t xml:space="preserve">Sugartree Licks </t>
  </si>
  <si>
    <t>Bunches Bald</t>
  </si>
  <si>
    <t>083°09'27.0"W</t>
  </si>
  <si>
    <t>35°33'22.0"N</t>
  </si>
  <si>
    <t>US-NE-0726</t>
  </si>
  <si>
    <t>US-NE-02379</t>
  </si>
  <si>
    <t xml:space="preserve">Windy Hill </t>
  </si>
  <si>
    <t>NE</t>
  </si>
  <si>
    <t>Burwell</t>
  </si>
  <si>
    <t>099°07'31.8"W</t>
  </si>
  <si>
    <t>41°48'59.8"N</t>
  </si>
  <si>
    <t>US-NH-01755</t>
  </si>
  <si>
    <t xml:space="preserve">Tabor Notch </t>
  </si>
  <si>
    <t>NH</t>
  </si>
  <si>
    <t>Coos</t>
  </si>
  <si>
    <t>Pittsburg</t>
  </si>
  <si>
    <t>071°27'13.0"W</t>
  </si>
  <si>
    <t>45°14'40.0"N</t>
  </si>
  <si>
    <t>In Canada. No name here.</t>
  </si>
  <si>
    <t>US-NH-0315</t>
  </si>
  <si>
    <t>US-NH-01060</t>
  </si>
  <si>
    <t xml:space="preserve">Oliverian Notch </t>
  </si>
  <si>
    <t>Grafton</t>
  </si>
  <si>
    <t>Warren</t>
  </si>
  <si>
    <t>Old Railroad Grd &amp; Station Rd [Warren Twn]</t>
  </si>
  <si>
    <t>071°53'53.5"W</t>
  </si>
  <si>
    <t>43°59'19.7"N</t>
  </si>
  <si>
    <t>US-NH-1146</t>
  </si>
  <si>
    <t>US-NH-03720</t>
  </si>
  <si>
    <t xml:space="preserve">Wildcat Col </t>
  </si>
  <si>
    <t>Carter Dome</t>
  </si>
  <si>
    <t>071°13'07.0"W</t>
  </si>
  <si>
    <t>44°15'05.0"N</t>
  </si>
  <si>
    <t>US-NM-1556</t>
  </si>
  <si>
    <t>US-NM-05092</t>
  </si>
  <si>
    <t xml:space="preserve">Cooke's Pass </t>
  </si>
  <si>
    <t>Massacre Canyon</t>
  </si>
  <si>
    <t>NM</t>
  </si>
  <si>
    <t>Massacre Peak</t>
  </si>
  <si>
    <t>107°40'51.2"W</t>
  </si>
  <si>
    <t>32°27'15.9"N</t>
  </si>
  <si>
    <t>US-NM-1579</t>
  </si>
  <si>
    <t>US-NM-05015</t>
  </si>
  <si>
    <t xml:space="preserve">Guadalupe Pass </t>
  </si>
  <si>
    <t>Hidalgo</t>
  </si>
  <si>
    <t>Guadalupe</t>
  </si>
  <si>
    <t>108°59'17.0"W</t>
  </si>
  <si>
    <t>31°21'00.6"N</t>
  </si>
  <si>
    <t>No obvious pass where the name is placed</t>
  </si>
  <si>
    <t>US-NM-1675</t>
  </si>
  <si>
    <t>US-NM-05496</t>
  </si>
  <si>
    <t xml:space="preserve">Burro Pass </t>
  </si>
  <si>
    <t>Indian Peak</t>
  </si>
  <si>
    <t>108°57'24.9"W</t>
  </si>
  <si>
    <t>31°50'39.5"N</t>
  </si>
  <si>
    <t>Duplicate with Antelope Pass</t>
  </si>
  <si>
    <t>US-NM-1766</t>
  </si>
  <si>
    <t>US-NM-05800</t>
  </si>
  <si>
    <t xml:space="preserve">Llano Largo </t>
  </si>
  <si>
    <t>Anton Chico</t>
  </si>
  <si>
    <t>105°12'16.2"W</t>
  </si>
  <si>
    <t>35°13'01.0"N</t>
  </si>
  <si>
    <t>US-NM-1778</t>
  </si>
  <si>
    <t>US-NM-06024</t>
  </si>
  <si>
    <t xml:space="preserve">Abo Pass </t>
  </si>
  <si>
    <t>Torrance</t>
  </si>
  <si>
    <t>Becker</t>
  </si>
  <si>
    <t>106°25'10.2"W</t>
  </si>
  <si>
    <t>34°25'42.8"N</t>
  </si>
  <si>
    <t>Just a cleft here and not a divide. Aka Abo Canyon</t>
  </si>
  <si>
    <t>US-NM-1889</t>
  </si>
  <si>
    <t>US-NM-06394</t>
  </si>
  <si>
    <t xml:space="preserve">Monticello Box </t>
  </si>
  <si>
    <t>Socorro</t>
  </si>
  <si>
    <t>Montoya Butte</t>
  </si>
  <si>
    <t>107°35'36.7"W</t>
  </si>
  <si>
    <t>33°34'10.2"N</t>
  </si>
  <si>
    <t>US-NM-1910</t>
  </si>
  <si>
    <t>US-NM-06265</t>
  </si>
  <si>
    <t xml:space="preserve">Puertacito de los Salado </t>
  </si>
  <si>
    <t>Santa Fe</t>
  </si>
  <si>
    <t>Ojo Hedion</t>
  </si>
  <si>
    <t>105°57'09.6"W</t>
  </si>
  <si>
    <t>35°17'25.9"N</t>
  </si>
  <si>
    <t>US-NM-1959</t>
  </si>
  <si>
    <t>US-NM-06406</t>
  </si>
  <si>
    <t xml:space="preserve">Hollis Pass </t>
  </si>
  <si>
    <t>Pilots Knob</t>
  </si>
  <si>
    <t>Fresno Canyon</t>
  </si>
  <si>
    <t>107°42'31.4"W</t>
  </si>
  <si>
    <t>36°36'14.3"N</t>
  </si>
  <si>
    <t>US-NM-1994</t>
  </si>
  <si>
    <t>US-NM-06426</t>
  </si>
  <si>
    <t xml:space="preserve">Rhodes Pass </t>
  </si>
  <si>
    <t>Hardscrabb</t>
  </si>
  <si>
    <t>106°43'34.0"W</t>
  </si>
  <si>
    <t>33°13'47.0"N</t>
  </si>
  <si>
    <t>White Sands Missile Range</t>
  </si>
  <si>
    <t>US-NM-2177</t>
  </si>
  <si>
    <t>US-NM-07254</t>
  </si>
  <si>
    <t xml:space="preserve">Red John Box </t>
  </si>
  <si>
    <t>Welty Hill</t>
  </si>
  <si>
    <t>107°31'23.3"W</t>
  </si>
  <si>
    <t>33°42'53.3"N</t>
  </si>
  <si>
    <t>No gap/pass where the name is placed.</t>
  </si>
  <si>
    <t>US-NM-2215</t>
  </si>
  <si>
    <t>US-NM-07270</t>
  </si>
  <si>
    <t xml:space="preserve">Campbell Pass </t>
  </si>
  <si>
    <t>Taos</t>
  </si>
  <si>
    <t>Continental Divide</t>
  </si>
  <si>
    <t>I40 - OLd Rte 66</t>
  </si>
  <si>
    <t>108°18'30.0"W</t>
  </si>
  <si>
    <t>35°25'19.0"N</t>
  </si>
  <si>
    <t>US-NM-2271</t>
  </si>
  <si>
    <t>US-NM-07613</t>
  </si>
  <si>
    <t xml:space="preserve">Greens Gap </t>
  </si>
  <si>
    <t>Catron</t>
  </si>
  <si>
    <t>Wallace Mesa</t>
  </si>
  <si>
    <t>Pipeline Springs Rd</t>
  </si>
  <si>
    <t>108°08'33.2"W</t>
  </si>
  <si>
    <t>34°05'42.4"N</t>
  </si>
  <si>
    <t>US-NM-2284</t>
  </si>
  <si>
    <t>US-NM-07596</t>
  </si>
  <si>
    <t xml:space="preserve">Goose Lake Ridge </t>
  </si>
  <si>
    <t>Grant</t>
  </si>
  <si>
    <t>Granny Mountain</t>
  </si>
  <si>
    <t>108°22'06.6"W</t>
  </si>
  <si>
    <t>33°01'00.4"N</t>
  </si>
  <si>
    <t>Gila Wilderness</t>
  </si>
  <si>
    <t>US-NM-2376</t>
  </si>
  <si>
    <t>US-NM-07815</t>
  </si>
  <si>
    <t xml:space="preserve">Dutch Oven Pass </t>
  </si>
  <si>
    <t>Horse Mountain West</t>
  </si>
  <si>
    <t>108°10'49.9"W</t>
  </si>
  <si>
    <t>34°00'13.9"N</t>
  </si>
  <si>
    <t>US-NM-2550</t>
  </si>
  <si>
    <t>US-NM-08432</t>
  </si>
  <si>
    <t xml:space="preserve">Deep Creek Divide </t>
  </si>
  <si>
    <t>Sign Camp Mountain</t>
  </si>
  <si>
    <t>108°41'28.9"W</t>
  </si>
  <si>
    <t>33°30'33.3"N</t>
  </si>
  <si>
    <t>No gap/pass here.</t>
  </si>
  <si>
    <t>US-NM-2560a</t>
  </si>
  <si>
    <t>US-NM-08405a</t>
  </si>
  <si>
    <t xml:space="preserve">Middle Gap </t>
  </si>
  <si>
    <t>Rio Arriba</t>
  </si>
  <si>
    <t>Horse Lake</t>
  </si>
  <si>
    <t>106°45'43.7"W</t>
  </si>
  <si>
    <t>36°49'16.9"N</t>
  </si>
  <si>
    <t>US-NM-2609</t>
  </si>
  <si>
    <t>US-NM-08563</t>
  </si>
  <si>
    <t xml:space="preserve">U S Hill </t>
  </si>
  <si>
    <t>Tres Ritos</t>
  </si>
  <si>
    <t>Nm-518 &amp; Nf-442</t>
  </si>
  <si>
    <t>105°35'35.7"W</t>
  </si>
  <si>
    <t>36°12'41.8"N</t>
  </si>
  <si>
    <t>US-NM-3227</t>
  </si>
  <si>
    <t>US-NM-10569</t>
  </si>
  <si>
    <t xml:space="preserve">Sandia Crest </t>
  </si>
  <si>
    <t>Bernalillo</t>
  </si>
  <si>
    <t>Sandia Creek</t>
  </si>
  <si>
    <t>T/S 100m from paved rd</t>
  </si>
  <si>
    <t>106°26'52.5"W</t>
  </si>
  <si>
    <t>35°12'32.5"N</t>
  </si>
  <si>
    <t>Sandia Mountain Wilderness (Road)</t>
  </si>
  <si>
    <t>US-NV-1493</t>
  </si>
  <si>
    <t>US-NV-04894</t>
  </si>
  <si>
    <t xml:space="preserve">Paradise Hill </t>
  </si>
  <si>
    <t>Paradise Hill Summit</t>
  </si>
  <si>
    <t>NV</t>
  </si>
  <si>
    <t>Paradise Well</t>
  </si>
  <si>
    <t>U.S.A. 95</t>
  </si>
  <si>
    <t>117°42'20.0"W</t>
  </si>
  <si>
    <t>41°19'24.1"N</t>
  </si>
  <si>
    <t>US-NV-1532</t>
  </si>
  <si>
    <t>US-NV-05052</t>
  </si>
  <si>
    <t xml:space="preserve">Rocky Pass </t>
  </si>
  <si>
    <t>Lander</t>
  </si>
  <si>
    <t>Rocky Pass</t>
  </si>
  <si>
    <t>116°48'05.0"W</t>
  </si>
  <si>
    <t>40°11'12.0"N</t>
  </si>
  <si>
    <t>US-NV-1674</t>
  </si>
  <si>
    <t>US-NV-05501</t>
  </si>
  <si>
    <t xml:space="preserve">The Gap </t>
  </si>
  <si>
    <t>Nye</t>
  </si>
  <si>
    <t>Tippipah Spring</t>
  </si>
  <si>
    <t>116°14'46.4"W</t>
  </si>
  <si>
    <t>37°05'47.5"N</t>
  </si>
  <si>
    <t>Nevada Test Site</t>
  </si>
  <si>
    <t>US-NV-1692</t>
  </si>
  <si>
    <t>US-NV-05720</t>
  </si>
  <si>
    <t xml:space="preserve">Duck Hill Summit </t>
  </si>
  <si>
    <t>Washoe</t>
  </si>
  <si>
    <t>Carson City</t>
  </si>
  <si>
    <t>119°46'59.8"W</t>
  </si>
  <si>
    <t>39°13'13.2"N</t>
  </si>
  <si>
    <t>US-NV-1785a</t>
  </si>
  <si>
    <t>US-NV-06076</t>
  </si>
  <si>
    <t xml:space="preserve">Antelope Pass </t>
  </si>
  <si>
    <t>Pinto Springs</t>
  </si>
  <si>
    <t>119°39'46.7"W</t>
  </si>
  <si>
    <t>41°20'24.8"N</t>
  </si>
  <si>
    <t>US-NV-1849</t>
  </si>
  <si>
    <t>US-NV-06260</t>
  </si>
  <si>
    <t>Storey</t>
  </si>
  <si>
    <t>Virginia City</t>
  </si>
  <si>
    <t>Nv-342 &amp; Main St &amp;  Homestead Rd [Virginia City]</t>
  </si>
  <si>
    <t>119°39'27.0"W</t>
  </si>
  <si>
    <t>39°17'43.5"N</t>
  </si>
  <si>
    <t>US-NV-1915a</t>
  </si>
  <si>
    <t>US-NV-06308</t>
  </si>
  <si>
    <t xml:space="preserve">Hercules Gap </t>
  </si>
  <si>
    <t>Hercules Gate</t>
  </si>
  <si>
    <t>White Pine</t>
  </si>
  <si>
    <t>Ruth</t>
  </si>
  <si>
    <t>Nv-490  Lackawana Rd</t>
  </si>
  <si>
    <t>114°53'33.6"W</t>
  </si>
  <si>
    <t>39°21'04.8"N</t>
  </si>
  <si>
    <t>US-NV-2007</t>
  </si>
  <si>
    <t>US-NV-06600</t>
  </si>
  <si>
    <t xml:space="preserve">Smith Creek </t>
  </si>
  <si>
    <t>Emigrant Peak</t>
  </si>
  <si>
    <t>117°23'01.1"W</t>
  </si>
  <si>
    <t>39°23'07.8"N</t>
  </si>
  <si>
    <t>US-NV-2342</t>
  </si>
  <si>
    <t>US-NV-07684</t>
  </si>
  <si>
    <t xml:space="preserve">Wheeler Pass </t>
  </si>
  <si>
    <t>Clark</t>
  </si>
  <si>
    <t>Willow Peak</t>
  </si>
  <si>
    <t>115°47'45.0"W</t>
  </si>
  <si>
    <t>36°23'29.0"N</t>
  </si>
  <si>
    <t>US-NV-2564</t>
  </si>
  <si>
    <t>US-NV-08438</t>
  </si>
  <si>
    <t xml:space="preserve">Summit </t>
  </si>
  <si>
    <t>Angel Peak</t>
  </si>
  <si>
    <t>Deer Creek Hwy</t>
  </si>
  <si>
    <t>115°36'44.6"W</t>
  </si>
  <si>
    <t>36°18'32.8"N</t>
  </si>
  <si>
    <t>"Summit" alone not used by USBGN &amp; USGS - purely descriptive here and not nominative</t>
  </si>
  <si>
    <t>US-NY-0074</t>
  </si>
  <si>
    <t>US-NY-00259</t>
  </si>
  <si>
    <t xml:space="preserve">Short Clove </t>
  </si>
  <si>
    <t>Rockland</t>
  </si>
  <si>
    <t>Haverstraw</t>
  </si>
  <si>
    <t>495 Haverstraw Rd (New City Rd)</t>
  </si>
  <si>
    <t>073°57'23.8"W</t>
  </si>
  <si>
    <t>41°10'49.7"N</t>
  </si>
  <si>
    <t>US-NY-0076</t>
  </si>
  <si>
    <t>US-NY-00254</t>
  </si>
  <si>
    <t xml:space="preserve">Long Clove </t>
  </si>
  <si>
    <t>U.S.A. 9w - Long Clove Rd</t>
  </si>
  <si>
    <t>073°56'39.9"W</t>
  </si>
  <si>
    <t>41°10'28.8"N</t>
  </si>
  <si>
    <t>US-NY-0449</t>
  </si>
  <si>
    <t>US-NY-01489</t>
  </si>
  <si>
    <t xml:space="preserve">Blackcrick Hollow </t>
  </si>
  <si>
    <t>Steuben</t>
  </si>
  <si>
    <t>Wayland</t>
  </si>
  <si>
    <t>11038 Black Creek Rd</t>
  </si>
  <si>
    <t>077°30'44.9"W</t>
  </si>
  <si>
    <t>42°32'20.4"N</t>
  </si>
  <si>
    <t>US-OH-0321</t>
  </si>
  <si>
    <t>US-OH-01039</t>
  </si>
  <si>
    <t xml:space="preserve">Cut Rock </t>
  </si>
  <si>
    <t>OH</t>
  </si>
  <si>
    <t>Scioto</t>
  </si>
  <si>
    <t>West Portsmouth</t>
  </si>
  <si>
    <t>4404 Careys Run Pond Crk</t>
  </si>
  <si>
    <t>083°06'31.9"W</t>
  </si>
  <si>
    <t>38°45'51.1"N</t>
  </si>
  <si>
    <t>US-OK-0196</t>
  </si>
  <si>
    <t>US-OK-00651</t>
  </si>
  <si>
    <t xml:space="preserve">Grants Gap </t>
  </si>
  <si>
    <t>Granite Gap</t>
  </si>
  <si>
    <t>OK</t>
  </si>
  <si>
    <t>Atoka</t>
  </si>
  <si>
    <t>Stringtown</t>
  </si>
  <si>
    <t>096°02'06.0"W</t>
  </si>
  <si>
    <t>34°29'06.0"N</t>
  </si>
  <si>
    <t>US-OK-0221</t>
  </si>
  <si>
    <t>US-OK-00840</t>
  </si>
  <si>
    <t xml:space="preserve">Porum Gap </t>
  </si>
  <si>
    <t>Muskogee</t>
  </si>
  <si>
    <t>Porum</t>
  </si>
  <si>
    <t>D4335 &amp; Cr-E1140</t>
  </si>
  <si>
    <t>095°18'15.8"W</t>
  </si>
  <si>
    <t>35°21'44.8"N</t>
  </si>
  <si>
    <t>US-OK-0375</t>
  </si>
  <si>
    <t>US-OK-01225</t>
  </si>
  <si>
    <t xml:space="preserve">Lone Rock </t>
  </si>
  <si>
    <t>Pushmataha</t>
  </si>
  <si>
    <t>Daisy</t>
  </si>
  <si>
    <t>095°37'53.2"W</t>
  </si>
  <si>
    <t>34°32'37.4"N</t>
  </si>
  <si>
    <t>US-OR-0210</t>
  </si>
  <si>
    <t>US-OR-00712</t>
  </si>
  <si>
    <t xml:space="preserve">Cape Sebastian </t>
  </si>
  <si>
    <t>OR</t>
  </si>
  <si>
    <t>Curry</t>
  </si>
  <si>
    <t>Cape Sebastian</t>
  </si>
  <si>
    <t>U.S.A. 101</t>
  </si>
  <si>
    <t>124°24'55.1"W</t>
  </si>
  <si>
    <t>42°20'06.8"N</t>
  </si>
  <si>
    <t>No pass/gap here.</t>
  </si>
  <si>
    <t>US-OR-0233</t>
  </si>
  <si>
    <t>US-OR-00751</t>
  </si>
  <si>
    <t xml:space="preserve">Siuslaw </t>
  </si>
  <si>
    <t>Tillamook</t>
  </si>
  <si>
    <t>Neskowin</t>
  </si>
  <si>
    <t>123°56'52.1"W</t>
  </si>
  <si>
    <t>45°04'01.6"N</t>
  </si>
  <si>
    <t>US-OR-0234</t>
  </si>
  <si>
    <t>US-OR-00761</t>
  </si>
  <si>
    <t xml:space="preserve">Murphy Hill </t>
  </si>
  <si>
    <t>Polk</t>
  </si>
  <si>
    <t>32351 Salmon River Hwy</t>
  </si>
  <si>
    <t>123°41'51.7"W</t>
  </si>
  <si>
    <t>45°03'38.0"N</t>
  </si>
  <si>
    <t>US-OR-0240</t>
  </si>
  <si>
    <t>US-OR-00784</t>
  </si>
  <si>
    <t xml:space="preserve">Clatsop </t>
  </si>
  <si>
    <t>Clatsop</t>
  </si>
  <si>
    <t>Soapstone Lake</t>
  </si>
  <si>
    <t>81710 AutoULR 53 &amp; ULR</t>
  </si>
  <si>
    <t>123°45'58.2"W</t>
  </si>
  <si>
    <t>45°51'55.0"N</t>
  </si>
  <si>
    <t>US-OR-0356</t>
  </si>
  <si>
    <t>US-OR-01175</t>
  </si>
  <si>
    <t xml:space="preserve">Timber </t>
  </si>
  <si>
    <t>Washington</t>
  </si>
  <si>
    <t>Timber</t>
  </si>
  <si>
    <t>56609 NW Suns&amp; Hwy</t>
  </si>
  <si>
    <t>123°15'26.3"W</t>
  </si>
  <si>
    <t>45°44'05.2"N</t>
  </si>
  <si>
    <t>US-OR-0445</t>
  </si>
  <si>
    <t>US-OR-01457</t>
  </si>
  <si>
    <t xml:space="preserve">Selma </t>
  </si>
  <si>
    <t>Josephine</t>
  </si>
  <si>
    <t>Selma</t>
  </si>
  <si>
    <t>20702 Redwood Hwy</t>
  </si>
  <si>
    <t>123°37'29.8"W</t>
  </si>
  <si>
    <t>42°15'10.2"N</t>
  </si>
  <si>
    <t>US-OR-0487</t>
  </si>
  <si>
    <t>US-OR-01578</t>
  </si>
  <si>
    <t xml:space="preserve">Rogers </t>
  </si>
  <si>
    <t>Woods Point</t>
  </si>
  <si>
    <t>AutoULR 6</t>
  </si>
  <si>
    <t>123°22'37.5"W</t>
  </si>
  <si>
    <t>45°37'19.0"N</t>
  </si>
  <si>
    <t>US-OR-0501</t>
  </si>
  <si>
    <t>US-OR-01631</t>
  </si>
  <si>
    <t xml:space="preserve">Little Dry Creek </t>
  </si>
  <si>
    <t>Umatilla</t>
  </si>
  <si>
    <t>Athena</t>
  </si>
  <si>
    <t>AutoULR 11</t>
  </si>
  <si>
    <t>118°23'50.5"W</t>
  </si>
  <si>
    <t>45°52'05.2"N</t>
  </si>
  <si>
    <t>US-OR-0515</t>
  </si>
  <si>
    <t>US-OR-01769</t>
  </si>
  <si>
    <t xml:space="preserve">Burnt Hill Summit </t>
  </si>
  <si>
    <t>Carpenterville</t>
  </si>
  <si>
    <t>Carpenterville Rd &amp; Bull Gulch Rd &amp; Chemin</t>
  </si>
  <si>
    <t>124°20'13.8"W</t>
  </si>
  <si>
    <t>42°12'44.3"N</t>
  </si>
  <si>
    <t>US-OR-0529</t>
  </si>
  <si>
    <t>US-OR-02555</t>
  </si>
  <si>
    <t xml:space="preserve">Hellgate </t>
  </si>
  <si>
    <t>Wasco</t>
  </si>
  <si>
    <t>Mutton Mountain</t>
  </si>
  <si>
    <t>E - 100 Rd (Simnasho - hot Rd)</t>
  </si>
  <si>
    <t>121°13'44.8"W</t>
  </si>
  <si>
    <t>44°52'46.8"N</t>
  </si>
  <si>
    <t>US-OR-0793</t>
  </si>
  <si>
    <t>US-OR-02589</t>
  </si>
  <si>
    <t xml:space="preserve">Surprise </t>
  </si>
  <si>
    <t>Baker</t>
  </si>
  <si>
    <t>Richland</t>
  </si>
  <si>
    <t>37874 AutoULR 86</t>
  </si>
  <si>
    <t>117°13'51.9"W</t>
  </si>
  <si>
    <t>44°47'10.1"N</t>
  </si>
  <si>
    <t>US-OR-0818</t>
  </si>
  <si>
    <t>US-OR-02680</t>
  </si>
  <si>
    <t xml:space="preserve">Vinson </t>
  </si>
  <si>
    <t>Vinson</t>
  </si>
  <si>
    <t>AutoULR 74</t>
  </si>
  <si>
    <t>119°00'56.9"W</t>
  </si>
  <si>
    <t>45°27'56.5"N</t>
  </si>
  <si>
    <t>US-OR-0908</t>
  </si>
  <si>
    <t>US-OR-02959</t>
  </si>
  <si>
    <t xml:space="preserve">Clear Lake </t>
  </si>
  <si>
    <t>Linn</t>
  </si>
  <si>
    <t>Clear Lake</t>
  </si>
  <si>
    <t>AutoULR 126</t>
  </si>
  <si>
    <t>121°59'44.1"W</t>
  </si>
  <si>
    <t>44°21'06.6"N</t>
  </si>
  <si>
    <t>US-OR-1016</t>
  </si>
  <si>
    <t>US-OR-03387</t>
  </si>
  <si>
    <t>Devils Gap</t>
  </si>
  <si>
    <t>Gilliam</t>
  </si>
  <si>
    <t>Owyhee Ridge</t>
  </si>
  <si>
    <t>117°09'47.2"W</t>
  </si>
  <si>
    <t>43°32'48.4"N</t>
  </si>
  <si>
    <t>US-OR-1058</t>
  </si>
  <si>
    <t>US-OR-03455</t>
  </si>
  <si>
    <t xml:space="preserve">Franklin Hill Summit </t>
  </si>
  <si>
    <t>Morrow</t>
  </si>
  <si>
    <t>Franklin Hill</t>
  </si>
  <si>
    <t>84672 Heppner Hwy</t>
  </si>
  <si>
    <t>119°14'08.2"W</t>
  </si>
  <si>
    <t>45°23'02.2"N</t>
  </si>
  <si>
    <t>No pass/gap here. Signpost says "Summit Franklin Hill" - just descriptive</t>
  </si>
  <si>
    <t>US-OR-1085</t>
  </si>
  <si>
    <t>US-OR-03573</t>
  </si>
  <si>
    <t xml:space="preserve">Mabe Hill </t>
  </si>
  <si>
    <t>Wheeler</t>
  </si>
  <si>
    <t>Toney Butte</t>
  </si>
  <si>
    <t>Service Creek-Mitchell Hwy &amp; ULR</t>
  </si>
  <si>
    <t>120°05'11.5"W</t>
  </si>
  <si>
    <t>44°40'41.7"N</t>
  </si>
  <si>
    <t>US-OR-1094</t>
  </si>
  <si>
    <t>US-OR-03596</t>
  </si>
  <si>
    <t xml:space="preserve">Shaniko Summit </t>
  </si>
  <si>
    <t>Shaniko Summit</t>
  </si>
  <si>
    <t>U.S.A. 97</t>
  </si>
  <si>
    <t>120°50'20.0"W</t>
  </si>
  <si>
    <t>44°59'20.0"N</t>
  </si>
  <si>
    <t>US-OR-1123</t>
  </si>
  <si>
    <t>US-OR-03684</t>
  </si>
  <si>
    <t xml:space="preserve">Flagstaff Hill Summit </t>
  </si>
  <si>
    <t>Virtue Flat</t>
  </si>
  <si>
    <t>21718 AutoULR 86</t>
  </si>
  <si>
    <t>117°44'31.7"W</t>
  </si>
  <si>
    <t>44°48'39.2"N</t>
  </si>
  <si>
    <t>US-OR-1124</t>
  </si>
  <si>
    <t>US-OR-03652</t>
  </si>
  <si>
    <t xml:space="preserve">Laird </t>
  </si>
  <si>
    <t>Posy Valley</t>
  </si>
  <si>
    <t>43181 AutoULR 86</t>
  </si>
  <si>
    <t>117°07'22.7"W</t>
  </si>
  <si>
    <t>44°49'43.5"N</t>
  </si>
  <si>
    <t>US-OR-1130</t>
  </si>
  <si>
    <t>US-OR-03740</t>
  </si>
  <si>
    <t xml:space="preserve">Shasta Gap </t>
  </si>
  <si>
    <t>Wendt Butte</t>
  </si>
  <si>
    <t>6706 Mussi Rd</t>
  </si>
  <si>
    <t>117°45'56.9"W</t>
  </si>
  <si>
    <t>44°23'40.1"N</t>
  </si>
  <si>
    <t>US-OR-1149</t>
  </si>
  <si>
    <t>US-OR-03744</t>
  </si>
  <si>
    <t xml:space="preserve">Hominy Saddle </t>
  </si>
  <si>
    <t>Wallowa</t>
  </si>
  <si>
    <t>Temperance Creek</t>
  </si>
  <si>
    <t>116°34'39.5"W</t>
  </si>
  <si>
    <t>45°33'39.5"N</t>
  </si>
  <si>
    <t>US-OR-1160</t>
  </si>
  <si>
    <t>US-OR-03747</t>
  </si>
  <si>
    <t xml:space="preserve">Cape Horn Summit </t>
  </si>
  <si>
    <t>Gurdane</t>
  </si>
  <si>
    <t>61032 U.S.A. 395</t>
  </si>
  <si>
    <t>119°00'21.4"W</t>
  </si>
  <si>
    <t>45°17'58.5"N</t>
  </si>
  <si>
    <t>US-OR-1239a</t>
  </si>
  <si>
    <t>US-OR-04066</t>
  </si>
  <si>
    <t xml:space="preserve">Wall Rock </t>
  </si>
  <si>
    <t>Malheur</t>
  </si>
  <si>
    <t>Wall Rock Springs</t>
  </si>
  <si>
    <t>117°33'02.7"W</t>
  </si>
  <si>
    <t>43°28'59.2"N</t>
  </si>
  <si>
    <t>US-OR-1269a</t>
  </si>
  <si>
    <t>US-OR-04176</t>
  </si>
  <si>
    <t xml:space="preserve">Whitman </t>
  </si>
  <si>
    <t>Medical Springs</t>
  </si>
  <si>
    <t>53876 AutoULR 203</t>
  </si>
  <si>
    <t>117°40'17.0"W</t>
  </si>
  <si>
    <t>45°05'47.5"N</t>
  </si>
  <si>
    <t>US-OR-1281</t>
  </si>
  <si>
    <t>US-OR-04193</t>
  </si>
  <si>
    <t xml:space="preserve">Meacham </t>
  </si>
  <si>
    <t>Meacham Lake</t>
  </si>
  <si>
    <t>I-84</t>
  </si>
  <si>
    <t>118°23'08.2"W</t>
  </si>
  <si>
    <t>45°27'45.3"N</t>
  </si>
  <si>
    <t>US-OR-1311</t>
  </si>
  <si>
    <t>US-OR-04285</t>
  </si>
  <si>
    <t xml:space="preserve">Horse Ridge Summit </t>
  </si>
  <si>
    <t>Deschutes</t>
  </si>
  <si>
    <t>Horse Ridge</t>
  </si>
  <si>
    <t>U.S.A. 20</t>
  </si>
  <si>
    <t>121°00'11.0"W</t>
  </si>
  <si>
    <t>43°54'36.0"N</t>
  </si>
  <si>
    <t>US-OR-1374</t>
  </si>
  <si>
    <t>US-OR-04505</t>
  </si>
  <si>
    <t xml:space="preserve">Austin </t>
  </si>
  <si>
    <t>Austin</t>
  </si>
  <si>
    <t>U.S.A. 26</t>
  </si>
  <si>
    <t>118°27'52.4"W</t>
  </si>
  <si>
    <t>44°34'31.5"N</t>
  </si>
  <si>
    <t>US-OR-1449</t>
  </si>
  <si>
    <t>US-OR-04747</t>
  </si>
  <si>
    <t xml:space="preserve">Locust butte </t>
  </si>
  <si>
    <t>Harney</t>
  </si>
  <si>
    <t>Locust Butte</t>
  </si>
  <si>
    <t>U.S.A. 395</t>
  </si>
  <si>
    <t>119°53'34.5"W</t>
  </si>
  <si>
    <t>43°13'06.0"N</t>
  </si>
  <si>
    <t>US-OR-1450</t>
  </si>
  <si>
    <t>US-OR-04770</t>
  </si>
  <si>
    <t xml:space="preserve">Doak Mountain Summit </t>
  </si>
  <si>
    <t>Klamath</t>
  </si>
  <si>
    <t>Howard Bay</t>
  </si>
  <si>
    <t>SR 140</t>
  </si>
  <si>
    <t>121°58'54.0"W</t>
  </si>
  <si>
    <t>42°21'08.0"N</t>
  </si>
  <si>
    <t>US-OR-1452</t>
  </si>
  <si>
    <t>US-OR-04760</t>
  </si>
  <si>
    <t xml:space="preserve">Wagon Tire </t>
  </si>
  <si>
    <t>U.S.A. 395 &amp; Chemin</t>
  </si>
  <si>
    <t>119°53'22.3"W</t>
  </si>
  <si>
    <t>43°14'37.1"N</t>
  </si>
  <si>
    <t>US-OR-1473</t>
  </si>
  <si>
    <t>US-OR-04833</t>
  </si>
  <si>
    <t xml:space="preserve">Picture Rock Pass </t>
  </si>
  <si>
    <t>Egli Rim</t>
  </si>
  <si>
    <t>AutoULR 31</t>
  </si>
  <si>
    <t>120°48'00.6"W</t>
  </si>
  <si>
    <t>43°02'53.6"N</t>
  </si>
  <si>
    <t>US-OR-1481</t>
  </si>
  <si>
    <t>US-OR-04862</t>
  </si>
  <si>
    <t xml:space="preserve">Tunnel Hill Summit </t>
  </si>
  <si>
    <t>Lakeview Airport</t>
  </si>
  <si>
    <t>92182 AutoULR 140</t>
  </si>
  <si>
    <t>120°29'25.6"W</t>
  </si>
  <si>
    <t>42°10'44.0"N</t>
  </si>
  <si>
    <t>US-OR-1547</t>
  </si>
  <si>
    <t>US-OR-05079</t>
  </si>
  <si>
    <t xml:space="preserve">Lookingglass </t>
  </si>
  <si>
    <t>Tollgate</t>
  </si>
  <si>
    <t>62358 Weston-Elgin Hwy</t>
  </si>
  <si>
    <t>118°06'34.7"W</t>
  </si>
  <si>
    <t>45°47'05.8"N</t>
  </si>
  <si>
    <t>US-OR-1550a</t>
  </si>
  <si>
    <t>US-OR-05089</t>
  </si>
  <si>
    <t xml:space="preserve">Dry Creek </t>
  </si>
  <si>
    <t>Folly Farm</t>
  </si>
  <si>
    <t>61912 AutoULR 78</t>
  </si>
  <si>
    <t>118°14'06.5"W</t>
  </si>
  <si>
    <t>43°05'58.8"N</t>
  </si>
  <si>
    <t>US-OR-1552</t>
  </si>
  <si>
    <t>US-OR-05119</t>
  </si>
  <si>
    <t xml:space="preserve">Sawtooth Crater </t>
  </si>
  <si>
    <t>117°32'28.6"W</t>
  </si>
  <si>
    <t>44°58'31.6"N</t>
  </si>
  <si>
    <t>US-OR-1570</t>
  </si>
  <si>
    <t>US-OR-05151</t>
  </si>
  <si>
    <t xml:space="preserve">Starr </t>
  </si>
  <si>
    <t>Fall Mountain</t>
  </si>
  <si>
    <t>U.S.A. 395 &amp; Nf-4920</t>
  </si>
  <si>
    <t>119°00'53.5"W</t>
  </si>
  <si>
    <t>44°15'37.2"N</t>
  </si>
  <si>
    <t>US-OR-1633</t>
  </si>
  <si>
    <t>US-OR-05341</t>
  </si>
  <si>
    <t xml:space="preserve">Devine Ridge Summit </t>
  </si>
  <si>
    <t>Divine Ridge North</t>
  </si>
  <si>
    <t>118°59'22.1"W</t>
  </si>
  <si>
    <t>43°48'15.0"N</t>
  </si>
  <si>
    <t>US-OR-1652</t>
  </si>
  <si>
    <t>US-OR-05413</t>
  </si>
  <si>
    <t xml:space="preserve">Baylet </t>
  </si>
  <si>
    <t>Pumice Desert West</t>
  </si>
  <si>
    <t>AutoULR 230</t>
  </si>
  <si>
    <t>122°12'09.9"W</t>
  </si>
  <si>
    <t>43°05'40.9"N</t>
  </si>
  <si>
    <t>US-OR-1903</t>
  </si>
  <si>
    <t>US-OR-06240</t>
  </si>
  <si>
    <t xml:space="preserve">Dooher Slide </t>
  </si>
  <si>
    <t>Antelope Butte</t>
  </si>
  <si>
    <t>AutoULR 140</t>
  </si>
  <si>
    <t>119°28'48.6"W</t>
  </si>
  <si>
    <t>42°00'55.8"N</t>
  </si>
  <si>
    <t>US-OR-1942</t>
  </si>
  <si>
    <t>US-OR-06360</t>
  </si>
  <si>
    <t xml:space="preserve">Jackson Summit </t>
  </si>
  <si>
    <t>Jackson Summit</t>
  </si>
  <si>
    <t>117°39'50.4"W</t>
  </si>
  <si>
    <t>42°13'55.6"N</t>
  </si>
  <si>
    <t>US-OR-1978a</t>
  </si>
  <si>
    <t>US-OR-06500</t>
  </si>
  <si>
    <t>Aspen Lake</t>
  </si>
  <si>
    <t>122°03'30.0"W</t>
  </si>
  <si>
    <t>42°20'07.0"N</t>
  </si>
  <si>
    <t>Mountain Lakes Wilderness</t>
  </si>
  <si>
    <t>No pass/gap where the name is placed</t>
  </si>
  <si>
    <t>US-OR-2098</t>
  </si>
  <si>
    <t>US-OR-07080</t>
  </si>
  <si>
    <t xml:space="preserve">Opie Dilldock Pass </t>
  </si>
  <si>
    <t>Obie Dillock Pass</t>
  </si>
  <si>
    <t>Lane</t>
  </si>
  <si>
    <t>North Sister</t>
  </si>
  <si>
    <t>121°47'30.2"W</t>
  </si>
  <si>
    <t>44°11'26.4"N</t>
  </si>
  <si>
    <t>Three Sisters Wilderness</t>
  </si>
  <si>
    <t>US-PA-0177</t>
  </si>
  <si>
    <t>US-PA-00584</t>
  </si>
  <si>
    <t>PA</t>
  </si>
  <si>
    <t>Gettysburg</t>
  </si>
  <si>
    <t xml:space="preserve"> Wright Ave - Sykes Ave (Gettysburg)</t>
  </si>
  <si>
    <t>077°14'12.5"W</t>
  </si>
  <si>
    <t>39°47'21.5"N</t>
  </si>
  <si>
    <t>US-PA-0383</t>
  </si>
  <si>
    <t>US-PA-01586</t>
  </si>
  <si>
    <t xml:space="preserve">Fourth Gap </t>
  </si>
  <si>
    <t>Lycoming</t>
  </si>
  <si>
    <t>Williamsport SE</t>
  </si>
  <si>
    <t>1385 4th Gap Rd</t>
  </si>
  <si>
    <t>077°06'39.8"W</t>
  </si>
  <si>
    <t>41°05'19.9"N</t>
  </si>
  <si>
    <t>US-PA-0412</t>
  </si>
  <si>
    <t>US-PA-01577</t>
  </si>
  <si>
    <t>106°19'00.2"W</t>
  </si>
  <si>
    <t>38°38'00.5"N</t>
  </si>
  <si>
    <t>US-CO-3827</t>
  </si>
  <si>
    <t>US-CO-12539b</t>
  </si>
  <si>
    <t xml:space="preserve">Wetterhorn Pass </t>
  </si>
  <si>
    <t>107°31'20.0"W</t>
  </si>
  <si>
    <t>38°02'31.0"N</t>
  </si>
  <si>
    <t>US-CO-3846a</t>
  </si>
  <si>
    <t>US-CO-12680</t>
  </si>
  <si>
    <t xml:space="preserve">Dorchester Pass </t>
  </si>
  <si>
    <t>Pieplant</t>
  </si>
  <si>
    <t>106°36'17.1"W</t>
  </si>
  <si>
    <t>38°59'47.6"N</t>
  </si>
  <si>
    <t>US-CO-3850</t>
  </si>
  <si>
    <t>US-CO-12620a</t>
  </si>
  <si>
    <t xml:space="preserve">Tellurium Pass </t>
  </si>
  <si>
    <t>106°40'13.3"W</t>
  </si>
  <si>
    <t>39°02'37.2"N</t>
  </si>
  <si>
    <t>US-CO-3869a</t>
  </si>
  <si>
    <t>US-CO-12700a</t>
  </si>
  <si>
    <t xml:space="preserve">Garner Pass </t>
  </si>
  <si>
    <t>105°44'32.1"W</t>
  </si>
  <si>
    <t>38°12'41.5"N</t>
  </si>
  <si>
    <t>US-CO-3872</t>
  </si>
  <si>
    <t>US-CO-12644</t>
  </si>
  <si>
    <t xml:space="preserve">Poughkeepsie Pass </t>
  </si>
  <si>
    <t>107°37'36.9"W</t>
  </si>
  <si>
    <t>37°55'12.3"N</t>
  </si>
  <si>
    <t>Helmuth
1880 book Colorado by Frank Fossett</t>
  </si>
  <si>
    <t>US-CO-3874</t>
  </si>
  <si>
    <t>US-CO-12710</t>
  </si>
  <si>
    <t xml:space="preserve">Ruby Pass </t>
  </si>
  <si>
    <t>LaPlata</t>
  </si>
  <si>
    <t>Storm King Peak</t>
  </si>
  <si>
    <t>107°37'21.5"W</t>
  </si>
  <si>
    <t>37°38'00.7"N</t>
  </si>
  <si>
    <t>US-CO-3876a</t>
  </si>
  <si>
    <t>US-CO-12703</t>
  </si>
  <si>
    <t>SanJuan</t>
  </si>
  <si>
    <t>107°29'11.2"W</t>
  </si>
  <si>
    <t>37°42'05.7"N</t>
  </si>
  <si>
    <t>US-CO-3883a</t>
  </si>
  <si>
    <t>US-CO-12742</t>
  </si>
  <si>
    <t xml:space="preserve">Comanche Pass </t>
  </si>
  <si>
    <t>Horn Peak</t>
  </si>
  <si>
    <t>105°37'03.8"W</t>
  </si>
  <si>
    <t>38°02'46.7"N</t>
  </si>
  <si>
    <t>US-CO-3888</t>
  </si>
  <si>
    <t>US-CO-12750</t>
  </si>
  <si>
    <t xml:space="preserve">Minnie Gulch Pass </t>
  </si>
  <si>
    <t>107°31'08.9"W</t>
  </si>
  <si>
    <t>37°49'32.0"N</t>
  </si>
  <si>
    <t>US-CO-3890</t>
  </si>
  <si>
    <t>US-CO-12779a</t>
  </si>
  <si>
    <t xml:space="preserve">Horn Fork Pass </t>
  </si>
  <si>
    <t>Chaffie</t>
  </si>
  <si>
    <t>Mount Harvard</t>
  </si>
  <si>
    <t>106°19'27.8"W</t>
  </si>
  <si>
    <t>38°54'10.2"N</t>
  </si>
  <si>
    <t>US-CO-3903a</t>
  </si>
  <si>
    <t>US-CO-12821a</t>
  </si>
  <si>
    <t xml:space="preserve">Storm King-Silex Pass </t>
  </si>
  <si>
    <t>107°33'43.0"W</t>
  </si>
  <si>
    <t>37°40'23.0"N</t>
  </si>
  <si>
    <t>Helmuth
Colorado Mountain Club hiking guides</t>
  </si>
  <si>
    <t>US-CO-3904</t>
  </si>
  <si>
    <t>US-CO-13169</t>
  </si>
  <si>
    <t xml:space="preserve">Lost Man Pass </t>
  </si>
  <si>
    <t>Mount Champion</t>
  </si>
  <si>
    <t>106°34'01.7"W</t>
  </si>
  <si>
    <t>39°08'55.0"N</t>
  </si>
  <si>
    <t>Hunter-Fryingpan Wilderness</t>
  </si>
  <si>
    <t>US-CO-3910</t>
  </si>
  <si>
    <t>US-CO-12808</t>
  </si>
  <si>
    <t xml:space="preserve">Buffalo Meadows Pass </t>
  </si>
  <si>
    <t>Harvard Lake</t>
  </si>
  <si>
    <t>106°07'51.0"W</t>
  </si>
  <si>
    <t>38°59'41.0"N</t>
  </si>
  <si>
    <t>Helmuth
History of Chaffee County</t>
  </si>
  <si>
    <t>Buffalo Peaks Wilderness</t>
  </si>
  <si>
    <t>US-CO-3912</t>
  </si>
  <si>
    <t>US-CO-12821</t>
  </si>
  <si>
    <t xml:space="preserve">Utah Pass </t>
  </si>
  <si>
    <t>106°25'22.7"W</t>
  </si>
  <si>
    <t>39°21'48.7"N</t>
  </si>
  <si>
    <t>US-CO-3919</t>
  </si>
  <si>
    <t>US-CO-12861</t>
  </si>
  <si>
    <t xml:space="preserve">Knife Point Pass </t>
  </si>
  <si>
    <t>107°35'33.5"W</t>
  </si>
  <si>
    <t>37°38'24.9"N</t>
  </si>
  <si>
    <t>US-CO-3921a</t>
  </si>
  <si>
    <t>US-CO-12880a</t>
  </si>
  <si>
    <t xml:space="preserve">South Halfmoon Pass </t>
  </si>
  <si>
    <t>Mount Elbert</t>
  </si>
  <si>
    <t>106°29'04.0"W</t>
  </si>
  <si>
    <t>39°06'30.0"N</t>
  </si>
  <si>
    <t>US-CO-3928</t>
  </si>
  <si>
    <t>US-CO-12816</t>
  </si>
  <si>
    <t>Hurricane Pass</t>
  </si>
  <si>
    <t>107°37'03.8"W</t>
  </si>
  <si>
    <t>37°55'03.5"N</t>
  </si>
  <si>
    <t>Helmuth
Gregory &amp; Smith Mountain Mysteries</t>
  </si>
  <si>
    <t>US-CO-3970</t>
  </si>
  <si>
    <t>US-CO-13060</t>
  </si>
  <si>
    <t xml:space="preserve">Dyke Col </t>
  </si>
  <si>
    <t>Mount Sneffels</t>
  </si>
  <si>
    <t>107°46'50.3"W</t>
  </si>
  <si>
    <t>38°00'02.8"N</t>
  </si>
  <si>
    <t>US-CO-3984</t>
  </si>
  <si>
    <t>US-CO-13060a</t>
  </si>
  <si>
    <t xml:space="preserve">Twin Thumbs Pass </t>
  </si>
  <si>
    <t>Mountain View Crest</t>
  </si>
  <si>
    <t>107°36'35.8"W</t>
  </si>
  <si>
    <t>37°37'37.5"N</t>
  </si>
  <si>
    <t>US-CO-3987</t>
  </si>
  <si>
    <t>US-CO-13100</t>
  </si>
  <si>
    <t xml:space="preserve">Virginius Pass </t>
  </si>
  <si>
    <t>107°46'18.4"W</t>
  </si>
  <si>
    <t>37°57'42.6"N</t>
  </si>
  <si>
    <t>US-CO-4009</t>
  </si>
  <si>
    <t>US-CO-13140</t>
  </si>
  <si>
    <t>105°37'16.1"W</t>
  </si>
  <si>
    <t>40°15'39.2"N</t>
  </si>
  <si>
    <t>US-CO-4014</t>
  </si>
  <si>
    <t>US-CO-13180</t>
  </si>
  <si>
    <t xml:space="preserve">Horseshoe Pass </t>
  </si>
  <si>
    <t>Mount Sherman</t>
  </si>
  <si>
    <t>106°10'45.3"W</t>
  </si>
  <si>
    <t>39°11'44.8"N</t>
  </si>
  <si>
    <t>Helmuth
Railroad publicity material</t>
  </si>
  <si>
    <t>US-CO-4021</t>
  </si>
  <si>
    <t>US-CO-13160</t>
  </si>
  <si>
    <t xml:space="preserve">Campion Pass </t>
  </si>
  <si>
    <t>Mount Evans</t>
  </si>
  <si>
    <t>OT/HS - 150m from Mt Evans road</t>
  </si>
  <si>
    <t>105°37'59.0"W</t>
  </si>
  <si>
    <t>39°34'41.0"N</t>
  </si>
  <si>
    <t>Helmuth
1940 listing of Colorado places</t>
  </si>
  <si>
    <t>Mount Evans Wilderness (Road)</t>
  </si>
  <si>
    <t>US-CO-4113</t>
  </si>
  <si>
    <t>US-CO-13500a</t>
  </si>
  <si>
    <t xml:space="preserve">Culebra Pass </t>
  </si>
  <si>
    <t>105°11'14.0"W</t>
  </si>
  <si>
    <t>37°07'03.0"N</t>
  </si>
  <si>
    <t>Helmuth
Luther Bean historian</t>
  </si>
  <si>
    <t>Private</t>
  </si>
  <si>
    <t>US-CT-0200</t>
  </si>
  <si>
    <t>US-CT-00656</t>
  </si>
  <si>
    <t xml:space="preserve">Camels Hump </t>
  </si>
  <si>
    <t>CT</t>
  </si>
  <si>
    <t>Middlesex</t>
  </si>
  <si>
    <t>Middletown</t>
  </si>
  <si>
    <t>072°44'25.0"W</t>
  </si>
  <si>
    <t>41°32'37.0"N</t>
  </si>
  <si>
    <t>Name Invalid</t>
  </si>
  <si>
    <t>US-CT-0236</t>
  </si>
  <si>
    <t>US-CT-00768</t>
  </si>
  <si>
    <t xml:space="preserve">Devils Den </t>
  </si>
  <si>
    <t>NY</t>
  </si>
  <si>
    <t>Fairfield</t>
  </si>
  <si>
    <t>Brewster</t>
  </si>
  <si>
    <t>OT/HS LR &lt; 180m</t>
  </si>
  <si>
    <t>073°32'33.0"W</t>
  </si>
  <si>
    <t>41°23'59.0"N</t>
  </si>
  <si>
    <t>US-GA-0095</t>
  </si>
  <si>
    <t>US-GA-00312</t>
  </si>
  <si>
    <t xml:space="preserve">Little Brasstown Gap </t>
  </si>
  <si>
    <t>GA</t>
  </si>
  <si>
    <t>Union</t>
  </si>
  <si>
    <t>Blairsville</t>
  </si>
  <si>
    <t>Southern Highroads Trl &amp; Mariposa Ln (76)</t>
  </si>
  <si>
    <t>082°27'00.5"W</t>
  </si>
  <si>
    <t>33°20'25.5"N</t>
  </si>
  <si>
    <t>Source Maptech but placed elsewhere by USGS</t>
  </si>
  <si>
    <t>Outflow from lake</t>
  </si>
  <si>
    <t>US-GA-0192</t>
  </si>
  <si>
    <t>US-GA-00749</t>
  </si>
  <si>
    <t xml:space="preserve">Helm Gap </t>
  </si>
  <si>
    <t>Talbot</t>
  </si>
  <si>
    <t>Manchester</t>
  </si>
  <si>
    <t>084°36'04.7"W</t>
  </si>
  <si>
    <t>32°46'45.7"N</t>
  </si>
  <si>
    <t>River gap</t>
  </si>
  <si>
    <t>US-GA-0276</t>
  </si>
  <si>
    <t>US-GA-00915</t>
  </si>
  <si>
    <t xml:space="preserve">Harris Gap </t>
  </si>
  <si>
    <t>Whitfield</t>
  </si>
  <si>
    <t>Tunnel Hill</t>
  </si>
  <si>
    <t>3039 Crow Valley Rd</t>
  </si>
  <si>
    <t>085°00'05.0"W</t>
  </si>
  <si>
    <t>34°51'59.0"N</t>
  </si>
  <si>
    <t>US-GA-0292</t>
  </si>
  <si>
    <t>US-GA-00975</t>
  </si>
  <si>
    <t xml:space="preserve">Mastern Cut </t>
  </si>
  <si>
    <t>Cohutta</t>
  </si>
  <si>
    <t>Appison Rd</t>
  </si>
  <si>
    <t>084°57'41.1"W</t>
  </si>
  <si>
    <t>34°58'31.2"N</t>
  </si>
  <si>
    <t>US-GA-0485a</t>
  </si>
  <si>
    <t>US-GA-01591</t>
  </si>
  <si>
    <t xml:space="preserve">Chelsea Gap </t>
  </si>
  <si>
    <t>Chattooga</t>
  </si>
  <si>
    <t>Dougherty Gap</t>
  </si>
  <si>
    <t>31964 Ga-157 &amp; Chealsea Gap Farm Rd</t>
  </si>
  <si>
    <t>085°28'09.1"W</t>
  </si>
  <si>
    <t>34°32'00.1"N</t>
  </si>
  <si>
    <t>US-GA-0493</t>
  </si>
  <si>
    <t>US-GA-01622</t>
  </si>
  <si>
    <t xml:space="preserve">Double Hollow </t>
  </si>
  <si>
    <t>Valley Head</t>
  </si>
  <si>
    <t>1327 State Line Rd</t>
  </si>
  <si>
    <t>085°30'07.0"W</t>
  </si>
  <si>
    <t>34°32'35.0"N</t>
  </si>
  <si>
    <t>US-GA-0617a</t>
  </si>
  <si>
    <t>US-GA-02045</t>
  </si>
  <si>
    <t xml:space="preserve">Crow Gap </t>
  </si>
  <si>
    <t>Crows Gap</t>
  </si>
  <si>
    <t>Walker</t>
  </si>
  <si>
    <t>Cedar Grove</t>
  </si>
  <si>
    <t>085°27'46.9"W</t>
  </si>
  <si>
    <t>34°42'11.1"N</t>
  </si>
  <si>
    <t>Just a gap in the cliffs</t>
  </si>
  <si>
    <t>US-GA-0784a</t>
  </si>
  <si>
    <t>US-GA-02572</t>
  </si>
  <si>
    <t xml:space="preserve">Bee Knob Gap </t>
  </si>
  <si>
    <t>Fannin</t>
  </si>
  <si>
    <t>Hemp Top</t>
  </si>
  <si>
    <t>084°32'40.0"W</t>
  </si>
  <si>
    <t>34°54'13.3"N</t>
  </si>
  <si>
    <t>Cohutta Wilderness</t>
  </si>
  <si>
    <t>US-GA-0905a</t>
  </si>
  <si>
    <t>US-GA-02991</t>
  </si>
  <si>
    <t xml:space="preserve">High Gap </t>
  </si>
  <si>
    <t>White</t>
  </si>
  <si>
    <t>Cowrock</t>
  </si>
  <si>
    <t>083°49'40.9"W</t>
  </si>
  <si>
    <t>34°41'50.5"N</t>
  </si>
  <si>
    <t>Raven Cliffs Wilderness</t>
  </si>
  <si>
    <t>US-GA-0925</t>
  </si>
  <si>
    <t>US-GA-03034</t>
  </si>
  <si>
    <t>Jacks Gap</t>
  </si>
  <si>
    <t>083°49'34.0"W</t>
  </si>
  <si>
    <t>34°46'36.0"N</t>
  </si>
  <si>
    <t>Mark Trail Wilderness</t>
  </si>
  <si>
    <t>US-GA-0997</t>
  </si>
  <si>
    <t>US-GA-03270</t>
  </si>
  <si>
    <t xml:space="preserve">Poplar Springs Gap </t>
  </si>
  <si>
    <t>Sam Jones Gap</t>
  </si>
  <si>
    <t>Dyer Gap</t>
  </si>
  <si>
    <t>084°34'39.0"W</t>
  </si>
  <si>
    <t>34°51'40.0"N</t>
  </si>
  <si>
    <t>Cohutta Wilderness (Road)</t>
  </si>
  <si>
    <t>US-GA-1049</t>
  </si>
  <si>
    <t>US-GA-03405</t>
  </si>
  <si>
    <t xml:space="preserve">White Oak Stamp </t>
  </si>
  <si>
    <t>Towns</t>
  </si>
  <si>
    <t>Tray Mountain</t>
  </si>
  <si>
    <t>083°41'28.0"W</t>
  </si>
  <si>
    <t>34°49'17.0"N</t>
  </si>
  <si>
    <t>US-GA-1055a</t>
  </si>
  <si>
    <t>US-GA-03449</t>
  </si>
  <si>
    <t xml:space="preserve">Whiteoak Stomp </t>
  </si>
  <si>
    <t>Coosa Bald</t>
  </si>
  <si>
    <t>083°58'31.4"W</t>
  </si>
  <si>
    <t>34°47'02.5"N</t>
  </si>
  <si>
    <t>US-GA-1058</t>
  </si>
  <si>
    <t>US-GA-03446</t>
  </si>
  <si>
    <t xml:space="preserve">Blue Ridge Swag </t>
  </si>
  <si>
    <t>Rabun</t>
  </si>
  <si>
    <t>T/S - Appalachian Trail</t>
  </si>
  <si>
    <t>083°39'33.5"W</t>
  </si>
  <si>
    <t>34°50'11.5"N</t>
  </si>
  <si>
    <t>Tray Mountain Wilderness</t>
  </si>
  <si>
    <t>US-GA-1165</t>
  </si>
  <si>
    <t>US-GA-03799</t>
  </si>
  <si>
    <t xml:space="preserve">Big Stamp </t>
  </si>
  <si>
    <t>083°41'22.2"W</t>
  </si>
  <si>
    <t>34°48'18.0"N</t>
  </si>
  <si>
    <t>US-HI-0354</t>
  </si>
  <si>
    <t>US-HI-01162</t>
  </si>
  <si>
    <t xml:space="preserve">Nu'uanu Pali </t>
  </si>
  <si>
    <t>HI</t>
  </si>
  <si>
    <t>Honolulu</t>
  </si>
  <si>
    <t>157°47'37.8"W</t>
  </si>
  <si>
    <t>21°21'59.7"N</t>
  </si>
  <si>
    <t>Descriptor not valid. Pali = "cliff" in Hawaiian</t>
  </si>
  <si>
    <t>US-HI-0387</t>
  </si>
  <si>
    <t>US-HI-01270</t>
  </si>
  <si>
    <t xml:space="preserve">Hole-in-the-Mountain </t>
  </si>
  <si>
    <t>Kauai</t>
  </si>
  <si>
    <t>Anahola</t>
  </si>
  <si>
    <t>159°19'42.0"W</t>
  </si>
  <si>
    <t>22°08'56.5"N</t>
  </si>
  <si>
    <t>US-HI-1581</t>
  </si>
  <si>
    <t>US-HI-05187</t>
  </si>
  <si>
    <t xml:space="preserve">Nenenui Gate </t>
  </si>
  <si>
    <t>Hawaii</t>
  </si>
  <si>
    <t>Puulehua</t>
  </si>
  <si>
    <t>155°47'31.9"W</t>
  </si>
  <si>
    <t>19°36'22.5"N</t>
  </si>
  <si>
    <t>US-HI-2009</t>
  </si>
  <si>
    <t>US-HI-06590</t>
  </si>
  <si>
    <t xml:space="preserve">Humuula Saddle </t>
  </si>
  <si>
    <t>Humuula Col</t>
  </si>
  <si>
    <t>Pu'u'ö'ö</t>
  </si>
  <si>
    <t>155°29'53.0"W</t>
  </si>
  <si>
    <t>19°42'05.0"N</t>
  </si>
  <si>
    <t>US-ID-0757</t>
  </si>
  <si>
    <t>US-ID-02483</t>
  </si>
  <si>
    <t>ID</t>
  </si>
  <si>
    <t>Benewah</t>
  </si>
  <si>
    <t>Benewah Lake</t>
  </si>
  <si>
    <t>116°40'13.0"W</t>
  </si>
  <si>
    <t>47°20'14.0"N</t>
  </si>
  <si>
    <t>US-ID-0800</t>
  </si>
  <si>
    <t>US-ID-02672</t>
  </si>
  <si>
    <t xml:space="preserve">Little Freezeout </t>
  </si>
  <si>
    <t>Gem</t>
  </si>
  <si>
    <t>Southwest Emmet</t>
  </si>
  <si>
    <t>4905 Little Freezeout Rd</t>
  </si>
  <si>
    <t>116°37'11.4"W</t>
  </si>
  <si>
    <t>43°50'17.3"N</t>
  </si>
  <si>
    <t>US-ID-0842</t>
  </si>
  <si>
    <t>US-ID-02762</t>
  </si>
  <si>
    <t xml:space="preserve">Lewinston Hill </t>
  </si>
  <si>
    <t>Nez Perce</t>
  </si>
  <si>
    <t>Clarkston</t>
  </si>
  <si>
    <t>23568 US Highway 95 N</t>
  </si>
  <si>
    <t>117°01'42.9"W</t>
  </si>
  <si>
    <t>46°28'06.3"N</t>
  </si>
  <si>
    <t>US-ID-1078</t>
  </si>
  <si>
    <t>US-ID-03526</t>
  </si>
  <si>
    <t xml:space="preserve">Beartrap Saddle </t>
  </si>
  <si>
    <t>Idaho</t>
  </si>
  <si>
    <t>Goodwin Meadows</t>
  </si>
  <si>
    <t>116°01'27.4"W</t>
  </si>
  <si>
    <t>45°50'13.6"N</t>
  </si>
  <si>
    <t>US-ID-1256</t>
  </si>
  <si>
    <t>US-ID-04440</t>
  </si>
  <si>
    <t xml:space="preserve">Bishop Saddle </t>
  </si>
  <si>
    <t>Shoshone</t>
  </si>
  <si>
    <t>Faset Peak</t>
  </si>
  <si>
    <t>116°17'28.2"W</t>
  </si>
  <si>
    <t>47°58'41.2"N</t>
  </si>
  <si>
    <t>No pass/gap here</t>
  </si>
  <si>
    <t>US-ID-1298</t>
  </si>
  <si>
    <t>US-ID-04239</t>
  </si>
  <si>
    <t>Horseshoe Bend Hill</t>
  </si>
  <si>
    <t>Boise</t>
  </si>
  <si>
    <t>Cartwright Canyon</t>
  </si>
  <si>
    <t>ULR55 &amp; ULR</t>
  </si>
  <si>
    <t>116°14'43.1"W</t>
  </si>
  <si>
    <t>43°50'08.8"N</t>
  </si>
  <si>
    <t>US-ID-1332</t>
  </si>
  <si>
    <t>Code</t>
  </si>
  <si>
    <t>Ancien code (ft)</t>
  </si>
  <si>
    <t>Nom complet</t>
  </si>
  <si>
    <t>Nom court</t>
  </si>
  <si>
    <t>Alias</t>
  </si>
  <si>
    <t>Etat</t>
  </si>
  <si>
    <t>Lim</t>
  </si>
  <si>
    <t>Comté</t>
  </si>
  <si>
    <t>Alti (ft)</t>
  </si>
  <si>
    <t>Documents</t>
  </si>
  <si>
    <t>Carte USGS</t>
  </si>
  <si>
    <t>Accès</t>
  </si>
  <si>
    <t>Type</t>
  </si>
  <si>
    <t>Diff</t>
  </si>
  <si>
    <t>Interdit</t>
  </si>
  <si>
    <t>WGS84 Lon D</t>
  </si>
  <si>
    <t>WGS84 Lat D</t>
  </si>
  <si>
    <t>WGS84 Lon S</t>
  </si>
  <si>
    <t>WGS84 Lat S</t>
  </si>
  <si>
    <t>Sources</t>
  </si>
  <si>
    <t>Remarques</t>
  </si>
  <si>
    <t>Statut</t>
  </si>
  <si>
    <t>Motif du refus ou de la suppression</t>
  </si>
  <si>
    <t>Alti</t>
  </si>
  <si>
    <t>37°15'14.3"N</t>
  </si>
  <si>
    <t>Zion National Park</t>
  </si>
  <si>
    <t>US-UT-1818</t>
  </si>
  <si>
    <t>US-UT-05982</t>
  </si>
  <si>
    <t xml:space="preserve">Indian Pass </t>
  </si>
  <si>
    <t>Millard</t>
  </si>
  <si>
    <t>Big Horseshoe</t>
  </si>
  <si>
    <t>113°43'28.0"W</t>
  </si>
  <si>
    <t>39°24'15.0"N</t>
  </si>
  <si>
    <t>US-UT-1906</t>
  </si>
  <si>
    <t>US-UT-06353</t>
  </si>
  <si>
    <t xml:space="preserve">The Gut </t>
  </si>
  <si>
    <t>Kane</t>
  </si>
  <si>
    <t>Buttler Valley</t>
  </si>
  <si>
    <t>111°49'24.2"W</t>
  </si>
  <si>
    <t>37°26'46.0"N</t>
  </si>
  <si>
    <t>US-UT-1927</t>
  </si>
  <si>
    <t>US-UT-06279</t>
  </si>
  <si>
    <t>Thompson Knoll</t>
  </si>
  <si>
    <t>US-50</t>
  </si>
  <si>
    <t>113°38'22.0"W</t>
  </si>
  <si>
    <t>39°04'26.0"N</t>
  </si>
  <si>
    <t>US-UT-1965</t>
  </si>
  <si>
    <t>US-UT-06450</t>
  </si>
  <si>
    <t>Stoddard Mountain</t>
  </si>
  <si>
    <t>US-56</t>
  </si>
  <si>
    <t>113°22'07.3"W</t>
  </si>
  <si>
    <t>37°36'33.8"N</t>
  </si>
  <si>
    <t>US-UT-1970</t>
  </si>
  <si>
    <t>US-UT-06541</t>
  </si>
  <si>
    <t>Juab</t>
  </si>
  <si>
    <t>Sabie Mountain</t>
  </si>
  <si>
    <t>OT/HS 400m &lt; SdR</t>
  </si>
  <si>
    <t>112°18'38.5"W</t>
  </si>
  <si>
    <t>39°53'36.3"N</t>
  </si>
  <si>
    <t>US-UT-2104</t>
  </si>
  <si>
    <t>US-UT-06890</t>
  </si>
  <si>
    <t xml:space="preserve">Diamond Pass </t>
  </si>
  <si>
    <t>Eureka</t>
  </si>
  <si>
    <t>112°06'48.8"W</t>
  </si>
  <si>
    <t>39°55'19.8"N</t>
  </si>
  <si>
    <t>US-UT-2265a</t>
  </si>
  <si>
    <t>US-UT-08273</t>
  </si>
  <si>
    <t>Kigalia Point</t>
  </si>
  <si>
    <t>109°45'18.2"W</t>
  </si>
  <si>
    <t>37°44'55.5"N</t>
  </si>
  <si>
    <t>US-UT-2314a</t>
  </si>
  <si>
    <t>US-UT-07598</t>
  </si>
  <si>
    <t>Upper Valley</t>
  </si>
  <si>
    <t>US-12</t>
  </si>
  <si>
    <t>111°50'36.9"W</t>
  </si>
  <si>
    <t>37°38'17.3"N</t>
  </si>
  <si>
    <t>US-UT-2369</t>
  </si>
  <si>
    <t>US-UT-07775</t>
  </si>
  <si>
    <t>Bryce Canyon</t>
  </si>
  <si>
    <t>112°13'22.1"W</t>
  </si>
  <si>
    <t>37°42'48.1"N</t>
  </si>
  <si>
    <t>US-UT-2764a</t>
  </si>
  <si>
    <t>US-UT-09114</t>
  </si>
  <si>
    <t>Jones Hollow</t>
  </si>
  <si>
    <t>US-191</t>
  </si>
  <si>
    <t>110°44'52.5"W</t>
  </si>
  <si>
    <t>39°53'08.6"N</t>
  </si>
  <si>
    <t>US-UT-2811</t>
  </si>
  <si>
    <t>US-UT-09206</t>
  </si>
  <si>
    <t xml:space="preserve">Billings Pass </t>
  </si>
  <si>
    <t>Flat Top</t>
  </si>
  <si>
    <t>111°25'18.5"W</t>
  </si>
  <si>
    <t>38°26'32.5"N</t>
  </si>
  <si>
    <t>US-UT-2928</t>
  </si>
  <si>
    <t>US-UT-09620</t>
  </si>
  <si>
    <t>Lower Bowns Reservoir</t>
  </si>
  <si>
    <t>111°19'49.8"W</t>
  </si>
  <si>
    <t>38°02'12.0"N</t>
  </si>
  <si>
    <t>US-UT-3116</t>
  </si>
  <si>
    <t>US-UT-10220</t>
  </si>
  <si>
    <t xml:space="preserve">Strawberry North Summit </t>
  </si>
  <si>
    <t>Wasatch</t>
  </si>
  <si>
    <t>Strawberry Peak</t>
  </si>
  <si>
    <t>110°58'52.0"W</t>
  </si>
  <si>
    <t>40°03'06.2"N</t>
  </si>
  <si>
    <t>Hill and not a pass/gap</t>
  </si>
  <si>
    <t>US-VA-0229a</t>
  </si>
  <si>
    <t>US-VA-00812</t>
  </si>
  <si>
    <t xml:space="preserve">Baldwin Gap </t>
  </si>
  <si>
    <t>Frederick</t>
  </si>
  <si>
    <t>5214 Cedar Creek Grade</t>
  </si>
  <si>
    <t>078°19'30.3"W</t>
  </si>
  <si>
    <t>39°05'40.8"N</t>
  </si>
  <si>
    <t>Where the name is placed this is a defile</t>
  </si>
  <si>
    <t>US-VA-0276a</t>
  </si>
  <si>
    <t>US-VA-00920</t>
  </si>
  <si>
    <t xml:space="preserve">Wisecarver Gap </t>
  </si>
  <si>
    <t>Hayfield</t>
  </si>
  <si>
    <t>078°17'19.6"W</t>
  </si>
  <si>
    <t>39°08'34.7"N</t>
  </si>
  <si>
    <t>US-VA-0366</t>
  </si>
  <si>
    <t>US-VA-01300</t>
  </si>
  <si>
    <t xml:space="preserve">Indicuts Gap </t>
  </si>
  <si>
    <t>Scott</t>
  </si>
  <si>
    <t>Looneys Gap</t>
  </si>
  <si>
    <t>082°57'32.0"W</t>
  </si>
  <si>
    <t>36°35'58.0"N</t>
  </si>
  <si>
    <t>US-VA-0381</t>
  </si>
  <si>
    <t>US-VA-01368</t>
  </si>
  <si>
    <t xml:space="preserve">Brickyard Gap </t>
  </si>
  <si>
    <t>Hiltons</t>
  </si>
  <si>
    <t>393 Faust Frd SR896</t>
  </si>
  <si>
    <t>082°29'28.7"W</t>
  </si>
  <si>
    <t>36°38'20.8"N</t>
  </si>
  <si>
    <t>US-VA-0388a</t>
  </si>
  <si>
    <t>US-VA-01359</t>
  </si>
  <si>
    <t xml:space="preserve">Hiltons Gap </t>
  </si>
  <si>
    <t>Hilton Gap</t>
  </si>
  <si>
    <t>710 Academy Rd</t>
  </si>
  <si>
    <t>082°27'36.9"W</t>
  </si>
  <si>
    <t>36°39'00.4"N</t>
  </si>
  <si>
    <t>US-VA-0397a</t>
  </si>
  <si>
    <t>US-VA-01430</t>
  </si>
  <si>
    <t xml:space="preserve">Dowell Gap </t>
  </si>
  <si>
    <t>082°26'33.0"W</t>
  </si>
  <si>
    <t>36°39'18.0"N</t>
  </si>
  <si>
    <t>US-VA-0399</t>
  </si>
  <si>
    <t>US-VA-01410</t>
  </si>
  <si>
    <t xml:space="preserve">Eddington Gap </t>
  </si>
  <si>
    <t>SR 691(LR)</t>
  </si>
  <si>
    <t>082°24'40.4"W</t>
  </si>
  <si>
    <t>36°39'44.1"N</t>
  </si>
  <si>
    <t>US-VA-0400</t>
  </si>
  <si>
    <t>US-VA-01424</t>
  </si>
  <si>
    <t xml:space="preserve">Powers Gap </t>
  </si>
  <si>
    <t>082°50'01.8"W</t>
  </si>
  <si>
    <t>36°36'29.3"N</t>
  </si>
  <si>
    <t>US-VA-0401</t>
  </si>
  <si>
    <t>US-VA-01421</t>
  </si>
  <si>
    <t xml:space="preserve">Jett Gap </t>
  </si>
  <si>
    <t>SR 690</t>
  </si>
  <si>
    <t>082°23'02.0"W</t>
  </si>
  <si>
    <t>36°40'19.0"N</t>
  </si>
  <si>
    <t>US-VA-0402</t>
  </si>
  <si>
    <t>US-VA-01389</t>
  </si>
  <si>
    <t xml:space="preserve">Drakes Gap </t>
  </si>
  <si>
    <t>Drake Gap</t>
  </si>
  <si>
    <t>Duffield</t>
  </si>
  <si>
    <t>SR 600(SR)</t>
  </si>
  <si>
    <t>082°50'34.0"W</t>
  </si>
  <si>
    <t>36°38'47.0"N</t>
  </si>
  <si>
    <t>US-VA-0404</t>
  </si>
  <si>
    <t>US-VA-01380</t>
  </si>
  <si>
    <t xml:space="preserve">Dellinger Gap </t>
  </si>
  <si>
    <t>Shenandoah</t>
  </si>
  <si>
    <t>Conicville</t>
  </si>
  <si>
    <t>078°44'56.0"W</t>
  </si>
  <si>
    <t>38°52'28.0"N</t>
  </si>
  <si>
    <t>US-VA-0405</t>
  </si>
  <si>
    <t>US-VA-01408</t>
  </si>
  <si>
    <t xml:space="preserve">Cowan Gap </t>
  </si>
  <si>
    <t>SR 636</t>
  </si>
  <si>
    <t>082°41'20.0"W</t>
  </si>
  <si>
    <t>36°37'07.0"N</t>
  </si>
  <si>
    <t>US-VA-0455</t>
  </si>
  <si>
    <t>US-VA-01569</t>
  </si>
  <si>
    <t xml:space="preserve">Fields Gap </t>
  </si>
  <si>
    <t>082°47'49.0"W</t>
  </si>
  <si>
    <t>36°35'50.0"N</t>
  </si>
  <si>
    <t>US-VA-0498</t>
  </si>
  <si>
    <t>US-VA-01677</t>
  </si>
  <si>
    <t xml:space="preserve">Devils Racepath </t>
  </si>
  <si>
    <t>19511 Daniel Boone Heritage Hwy</t>
  </si>
  <si>
    <t>082°46'28.0"W</t>
  </si>
  <si>
    <t>36°42'07.0"N</t>
  </si>
  <si>
    <t>US-VA-0673a</t>
  </si>
  <si>
    <t>US-VA-02266</t>
  </si>
  <si>
    <t xml:space="preserve">Dunns Gap </t>
  </si>
  <si>
    <t>Bath</t>
  </si>
  <si>
    <t>Warm Springs</t>
  </si>
  <si>
    <t>079°48'58.7"W</t>
  </si>
  <si>
    <t>38°01'30.5"N</t>
  </si>
  <si>
    <t>US-VA-0707a</t>
  </si>
  <si>
    <t>US-VA-02326</t>
  </si>
  <si>
    <t xml:space="preserve">The Lock </t>
  </si>
  <si>
    <t>WV</t>
  </si>
  <si>
    <t>Ridge</t>
  </si>
  <si>
    <t>078°20'48.3"W</t>
  </si>
  <si>
    <t>39°27'37.5"N</t>
  </si>
  <si>
    <t>US-VA-0723a</t>
  </si>
  <si>
    <t>US-VA-02370</t>
  </si>
  <si>
    <t xml:space="preserve">Hickory Stand </t>
  </si>
  <si>
    <t>Rockbridge</t>
  </si>
  <si>
    <t>Snowden</t>
  </si>
  <si>
    <t>DR/R - Appalachian Trail</t>
  </si>
  <si>
    <t>079°26'56.0"W</t>
  </si>
  <si>
    <t>37°35'05.0"N</t>
  </si>
  <si>
    <t>James River Face Wilderness</t>
  </si>
  <si>
    <t>US-VA-0745</t>
  </si>
  <si>
    <t>US-VA-02435</t>
  </si>
  <si>
    <t xml:space="preserve">Chestnut Sag </t>
  </si>
  <si>
    <t>Cornwall</t>
  </si>
  <si>
    <t>079°17'30.4"W</t>
  </si>
  <si>
    <t>37°45'53.6"N</t>
  </si>
  <si>
    <t>Nr. Blue Ridge Parkway</t>
  </si>
  <si>
    <t>US-VA-0805a</t>
  </si>
  <si>
    <t>US-VA-02635</t>
  </si>
  <si>
    <t xml:space="preserve">Heartsblood </t>
  </si>
  <si>
    <t>Heart's Blood</t>
  </si>
  <si>
    <t>Botetourt</t>
  </si>
  <si>
    <t>Sugarloaf Mount</t>
  </si>
  <si>
    <t>079°40'29.1"W</t>
  </si>
  <si>
    <t>37°41'52.5"N</t>
  </si>
  <si>
    <t>US-VA-0875</t>
  </si>
  <si>
    <t>US-VA-02853</t>
  </si>
  <si>
    <t xml:space="preserve">Lovers Leap </t>
  </si>
  <si>
    <t>Patrick</t>
  </si>
  <si>
    <t>Stuart</t>
  </si>
  <si>
    <t>8691 Jeb Stuart Hwy</t>
  </si>
  <si>
    <t>080°19'40.3"W</t>
  </si>
  <si>
    <t>36°43'15.5"N</t>
  </si>
  <si>
    <t>US-VA-0880</t>
  </si>
  <si>
    <t>US-VA-02908</t>
  </si>
  <si>
    <t xml:space="preserve">Gum Stand </t>
  </si>
  <si>
    <t>Pulaski</t>
  </si>
  <si>
    <t>Indian Valley</t>
  </si>
  <si>
    <t>080°37'08.7"W</t>
  </si>
  <si>
    <t>36°57'46.5"N</t>
  </si>
  <si>
    <t>US-VA-0890</t>
  </si>
  <si>
    <t>US-VA-02903</t>
  </si>
  <si>
    <t xml:space="preserve">The Cuckoo </t>
  </si>
  <si>
    <t>Damascus</t>
  </si>
  <si>
    <t>081°45'57.2"W</t>
  </si>
  <si>
    <t>36°38'11.8"N</t>
  </si>
  <si>
    <t>US-VA-0894</t>
  </si>
  <si>
    <t>US-VA-03036</t>
  </si>
  <si>
    <t xml:space="preserve">Doe Hollow Gap </t>
  </si>
  <si>
    <t>Tazewell</t>
  </si>
  <si>
    <t>Cove Creek</t>
  </si>
  <si>
    <t>081°20'46.0"W</t>
  </si>
  <si>
    <t>37°10'30.0"N</t>
  </si>
  <si>
    <t>US-VA-0969</t>
  </si>
  <si>
    <t>US-VA-03187</t>
  </si>
  <si>
    <t xml:space="preserve">Rich Hole </t>
  </si>
  <si>
    <t>Longdale Furnac</t>
  </si>
  <si>
    <t>079°38'03.1"W</t>
  </si>
  <si>
    <t>37°52'23.3"N</t>
  </si>
  <si>
    <t>Rich Hole Wilderness</t>
  </si>
  <si>
    <t>US-VA-1021</t>
  </si>
  <si>
    <t>US-VA-03341</t>
  </si>
  <si>
    <t xml:space="preserve">The Sag </t>
  </si>
  <si>
    <t>Fletcher</t>
  </si>
  <si>
    <t>078°25'18.1"W</t>
  </si>
  <si>
    <t>38°28'34.0"N</t>
  </si>
  <si>
    <t>Shenandoah National Park</t>
  </si>
  <si>
    <t>US-VA-1173a</t>
  </si>
  <si>
    <t>US-VA-03850</t>
  </si>
  <si>
    <t>Hutchinson Rock</t>
  </si>
  <si>
    <t>081°23'34.0"W</t>
  </si>
  <si>
    <t>37°06'49.0"N</t>
  </si>
  <si>
    <t>US-VI-0206</t>
  </si>
  <si>
    <t>US-VI-00697</t>
  </si>
  <si>
    <t xml:space="preserve">King Hill </t>
  </si>
  <si>
    <t>VI</t>
  </si>
  <si>
    <t>St John</t>
  </si>
  <si>
    <t>Virgin Island</t>
  </si>
  <si>
    <t>Center Line Rd</t>
  </si>
  <si>
    <t>064°43'56.8"W</t>
  </si>
  <si>
    <t>18°21'08.3"N</t>
  </si>
  <si>
    <t>Virgin Islands Coral Reef National Park</t>
  </si>
  <si>
    <t>US-VT-0362</t>
  </si>
  <si>
    <t>US-VT-01273</t>
  </si>
  <si>
    <t xml:space="preserve">Middlesex Notch </t>
  </si>
  <si>
    <t>VT</t>
  </si>
  <si>
    <t>072°41'21.4"W</t>
  </si>
  <si>
    <t>44°20'05.2"N</t>
  </si>
  <si>
    <t>US-VT-0368</t>
  </si>
  <si>
    <t>US-VT-01178</t>
  </si>
  <si>
    <t xml:space="preserve">Bolton Notch </t>
  </si>
  <si>
    <t>Chittenden</t>
  </si>
  <si>
    <t>Richmond</t>
  </si>
  <si>
    <t>072°53'51.2"W</t>
  </si>
  <si>
    <t>44°25'51.9"N</t>
  </si>
  <si>
    <t>US-VT-0533</t>
  </si>
  <si>
    <t>US-VT-01510</t>
  </si>
  <si>
    <t>Addison</t>
  </si>
  <si>
    <t>Carte Delorme</t>
  </si>
  <si>
    <t>073°00'45.0"W</t>
  </si>
  <si>
    <t>44°03'26.1"N</t>
  </si>
  <si>
    <t>US-VT-0595</t>
  </si>
  <si>
    <t>US-VT-01943</t>
  </si>
  <si>
    <t xml:space="preserve">The Elbow </t>
  </si>
  <si>
    <t>Rutland</t>
  </si>
  <si>
    <t>Pico Peak</t>
  </si>
  <si>
    <t>69 Old Turnpike Rd</t>
  </si>
  <si>
    <t>072°51'21.1"W</t>
  </si>
  <si>
    <t>43°41'44.6"N</t>
  </si>
  <si>
    <t>US-VT-0619a</t>
  </si>
  <si>
    <t>US-VT-02058</t>
  </si>
  <si>
    <t xml:space="preserve">The Natural Turnpike </t>
  </si>
  <si>
    <t>Lincoln</t>
  </si>
  <si>
    <t>072°57'58.8"W</t>
  </si>
  <si>
    <t>44°00'58.1"N</t>
  </si>
  <si>
    <t>US-VT-0650</t>
  </si>
  <si>
    <t>US-VT-02142</t>
  </si>
  <si>
    <t>Danby</t>
  </si>
  <si>
    <t>072°53'07.8"W</t>
  </si>
  <si>
    <t>43°20'47.1"N</t>
  </si>
  <si>
    <t>US-VT-0811</t>
  </si>
  <si>
    <t>US-VT-02613</t>
  </si>
  <si>
    <t xml:space="preserve">Needles Eye </t>
  </si>
  <si>
    <t>Mount Mansfield</t>
  </si>
  <si>
    <t>T/S - The Long Trail</t>
  </si>
  <si>
    <t>072°49'20.8"W</t>
  </si>
  <si>
    <t>44°30'23.5"N</t>
  </si>
  <si>
    <t>US-WA-0848</t>
  </si>
  <si>
    <t>US-WA-02785</t>
  </si>
  <si>
    <t xml:space="preserve">Alpowa Summit </t>
  </si>
  <si>
    <t>WA</t>
  </si>
  <si>
    <t>Alpowa Ride</t>
  </si>
  <si>
    <t>1569 Highway 12 E</t>
  </si>
  <si>
    <t>117°25'29.7"W</t>
  </si>
  <si>
    <t>46°26'09.3"N</t>
  </si>
  <si>
    <t>No pass/gap here - just a high point on the road</t>
  </si>
  <si>
    <t>US-WA-0911</t>
  </si>
  <si>
    <t>US-WA-02975</t>
  </si>
  <si>
    <t xml:space="preserve">Blanchard Hump </t>
  </si>
  <si>
    <t>Spokane</t>
  </si>
  <si>
    <t>Mount Kit Carson</t>
  </si>
  <si>
    <t>19322 E Blanchard Rd</t>
  </si>
  <si>
    <t>117°08'07.2"W</t>
  </si>
  <si>
    <t>47°59'47.9"N</t>
  </si>
  <si>
    <t>US-WA-1241a</t>
  </si>
  <si>
    <t>US-WA-04071</t>
  </si>
  <si>
    <t xml:space="preserve">Old Blewett Pass </t>
  </si>
  <si>
    <t>Blewett Pass</t>
  </si>
  <si>
    <t>Chelan</t>
  </si>
  <si>
    <t>Liberty</t>
  </si>
  <si>
    <t>120°40'20.0"W</t>
  </si>
  <si>
    <t>47°20'54.0"N</t>
  </si>
  <si>
    <t>US-WA-1641</t>
  </si>
  <si>
    <t>US-WA-05371</t>
  </si>
  <si>
    <t xml:space="preserve">Colockum Pass </t>
  </si>
  <si>
    <t>Kittitas</t>
  </si>
  <si>
    <t>Colockum Pass</t>
  </si>
  <si>
    <t>120°16'39.5"W</t>
  </si>
  <si>
    <t>47°11'57.7"N</t>
  </si>
  <si>
    <t>US-WA-2009a</t>
  </si>
  <si>
    <t>US-WA-06588</t>
  </si>
  <si>
    <t xml:space="preserve">Summer Blossom </t>
  </si>
  <si>
    <t>South Navarre Peak</t>
  </si>
  <si>
    <t>120°17'27.8"W</t>
  </si>
  <si>
    <t>48°07'11.1"N</t>
  </si>
  <si>
    <t>US-WA-2166</t>
  </si>
  <si>
    <t>US-WA-07122</t>
  </si>
  <si>
    <t xml:space="preserve">Enchantment Pass </t>
  </si>
  <si>
    <t>Enchantment Lake</t>
  </si>
  <si>
    <t>120°47'58.2"W</t>
  </si>
  <si>
    <t>47°28'33.3"N</t>
  </si>
  <si>
    <t>Alpine Lakes Wilderness</t>
  </si>
  <si>
    <t>US-WA-2293</t>
  </si>
  <si>
    <t>US-WA-07483</t>
  </si>
  <si>
    <t xml:space="preserve">Twin Peaks </t>
  </si>
  <si>
    <t>Sun Mountain</t>
  </si>
  <si>
    <t>120°33'33.7"W</t>
  </si>
  <si>
    <t>48°17'07.1"N</t>
  </si>
  <si>
    <t>Lake Chelan-Sawtooth Wilderness</t>
  </si>
  <si>
    <t>US-WI-0224</t>
  </si>
  <si>
    <t>US-WI-00664</t>
  </si>
  <si>
    <t xml:space="preserve">Banfield Saddle </t>
  </si>
  <si>
    <t>WI</t>
  </si>
  <si>
    <t>Dubuque North</t>
  </si>
  <si>
    <t>4793 West Ln</t>
  </si>
  <si>
    <t>090°39'25.8"W</t>
  </si>
  <si>
    <t>42°36'36.3"N</t>
  </si>
  <si>
    <t>US-WV-0349a</t>
  </si>
  <si>
    <t>US-WV-01296</t>
  </si>
  <si>
    <t xml:space="preserve">Redman Gap </t>
  </si>
  <si>
    <t>US-AK-0379a</t>
  </si>
  <si>
    <t>US-AK-01244</t>
  </si>
  <si>
    <t xml:space="preserve">Alatna Portage </t>
  </si>
  <si>
    <t>AK</t>
  </si>
  <si>
    <t>Yukon-Koyukuk</t>
  </si>
  <si>
    <t>Survey Pass A-2</t>
  </si>
  <si>
    <t>OT/HS</t>
  </si>
  <si>
    <t>153°52'44.4"W</t>
  </si>
  <si>
    <t>67°02'29.9"N</t>
  </si>
  <si>
    <t>USGS 24k</t>
  </si>
  <si>
    <t>Refusé 2018</t>
  </si>
  <si>
    <t>Descriptor not valid</t>
  </si>
  <si>
    <t>US-AK-0408</t>
  </si>
  <si>
    <t>US-AK-01340</t>
  </si>
  <si>
    <t xml:space="preserve">The Gates </t>
  </si>
  <si>
    <t>Lake and Penins</t>
  </si>
  <si>
    <t>Chignik D-1</t>
  </si>
  <si>
    <t>158°04'07.0"W</t>
  </si>
  <si>
    <t>56°54'20.0"N</t>
  </si>
  <si>
    <t>Defile. Outflow from lake</t>
  </si>
  <si>
    <t>US-AK-0686</t>
  </si>
  <si>
    <t>US-AK-02251</t>
  </si>
  <si>
    <t xml:space="preserve">Chuqitnu Tustes </t>
  </si>
  <si>
    <t>Carbon</t>
  </si>
  <si>
    <t>Talkeetna A-6 NR</t>
  </si>
  <si>
    <t>152°40'46.1"W</t>
  </si>
  <si>
    <t>62°14'05.4"N</t>
  </si>
  <si>
    <t>US-AL-0150</t>
  </si>
  <si>
    <t>US-AL-00553</t>
  </si>
  <si>
    <t xml:space="preserve">Rock Cutter Gap </t>
  </si>
  <si>
    <t>AL</t>
  </si>
  <si>
    <t>Vandiver</t>
  </si>
  <si>
    <t>DR/R</t>
  </si>
  <si>
    <t>086°32'05.0"W</t>
  </si>
  <si>
    <t>33°23'54.0"N</t>
  </si>
  <si>
    <t>Defile</t>
  </si>
  <si>
    <t>US-AL-0155</t>
  </si>
  <si>
    <t>US-AL-00597</t>
  </si>
  <si>
    <t xml:space="preserve">Boyles Gap </t>
  </si>
  <si>
    <t>Jefferson</t>
  </si>
  <si>
    <t>Birmingham North</t>
  </si>
  <si>
    <t>086°47'30.0"W</t>
  </si>
  <si>
    <t>33°35'08.1"N</t>
  </si>
  <si>
    <t>Defile. Outflow from Lake</t>
  </si>
  <si>
    <t>US-AL-0163</t>
  </si>
  <si>
    <t>US-AL-00527</t>
  </si>
  <si>
    <t xml:space="preserve">Brock Gap </t>
  </si>
  <si>
    <t>Helena</t>
  </si>
  <si>
    <t>086°52'11.3"W</t>
  </si>
  <si>
    <t>33°20'13.7"N</t>
  </si>
  <si>
    <t>US-AL-0166</t>
  </si>
  <si>
    <t>US-AL-00544</t>
  </si>
  <si>
    <t>Brocks Gap</t>
  </si>
  <si>
    <t>086°52'15.0"W</t>
  </si>
  <si>
    <t>33°20'12.0"N</t>
  </si>
  <si>
    <t>Duplicate</t>
  </si>
  <si>
    <t>US-AL-00603</t>
  </si>
  <si>
    <t xml:space="preserve">Clear Branch Gap </t>
  </si>
  <si>
    <t>Greenwood</t>
  </si>
  <si>
    <t>4530 Bell Hill Rd</t>
  </si>
  <si>
    <t>086°59'06.6"W</t>
  </si>
  <si>
    <t>33°19'46.3"N</t>
  </si>
  <si>
    <t>Defile. Outflow from lakes</t>
  </si>
  <si>
    <t>US-AL-0175</t>
  </si>
  <si>
    <t>US-AL-00594</t>
  </si>
  <si>
    <t xml:space="preserve">Rattlesnake Gap </t>
  </si>
  <si>
    <t>Shelby</t>
  </si>
  <si>
    <t>OT/HS LR &lt; 150m</t>
  </si>
  <si>
    <t>086°33'44.7"W</t>
  </si>
  <si>
    <t>33°23'21.5"N</t>
  </si>
  <si>
    <t>US-AL-0176</t>
  </si>
  <si>
    <t>US-AL-00670</t>
  </si>
  <si>
    <t xml:space="preserve">Turkeytown Gap </t>
  </si>
  <si>
    <t>Etowah</t>
  </si>
  <si>
    <t>Gadsden East</t>
  </si>
  <si>
    <t>314 Turkeygap Rd</t>
  </si>
  <si>
    <t>085°54'11.1"W</t>
  </si>
  <si>
    <t>34°05'48.3"N</t>
  </si>
  <si>
    <t>US-AL-0179</t>
  </si>
  <si>
    <t>US-AL-00601</t>
  </si>
  <si>
    <t xml:space="preserve">Leighton Gap </t>
  </si>
  <si>
    <t>St. Clair</t>
  </si>
  <si>
    <t>Cox Gap</t>
  </si>
  <si>
    <t>CR21</t>
  </si>
  <si>
    <t>086°07'49.0"W</t>
  </si>
  <si>
    <t>33°47'02.0"N</t>
  </si>
  <si>
    <t>US-AL-0184a</t>
  </si>
  <si>
    <t>US-AL-00636</t>
  </si>
  <si>
    <t xml:space="preserve">Norwood Gap </t>
  </si>
  <si>
    <t>Tuscaloosa</t>
  </si>
  <si>
    <t>McCalla</t>
  </si>
  <si>
    <t>SR AL-216</t>
  </si>
  <si>
    <t>087°07'15.0"W</t>
  </si>
  <si>
    <t>33°16'40.0"N</t>
  </si>
  <si>
    <t>US-AL-0190</t>
  </si>
  <si>
    <t>US-AL-00624</t>
  </si>
  <si>
    <t xml:space="preserve">McCorkles Gap </t>
  </si>
  <si>
    <t>Colbert</t>
  </si>
  <si>
    <t>Old Bethel</t>
  </si>
  <si>
    <t>087°35'20.0"W</t>
  </si>
  <si>
    <t>34°37'27.0"N</t>
  </si>
  <si>
    <t>US-AL-0195</t>
  </si>
  <si>
    <t>US-AL-00598</t>
  </si>
  <si>
    <t xml:space="preserve">Hendrick Gap </t>
  </si>
  <si>
    <t>Blount</t>
  </si>
  <si>
    <t>Cleveland</t>
  </si>
  <si>
    <t>Cr-15</t>
  </si>
  <si>
    <t>086°34'34.2"W</t>
  </si>
  <si>
    <t>33°52'41.6"N</t>
  </si>
  <si>
    <t>US-AL-0195a</t>
  </si>
  <si>
    <t>US-AL-00665</t>
  </si>
  <si>
    <t xml:space="preserve">Cunningham Gap </t>
  </si>
  <si>
    <t>Pinson</t>
  </si>
  <si>
    <t>086°44'18.0"W</t>
  </si>
  <si>
    <t>33°39'27.0"N</t>
  </si>
  <si>
    <t>US-AL-0216</t>
  </si>
  <si>
    <t>US-AL-00709</t>
  </si>
  <si>
    <t>Cowden Gap</t>
  </si>
  <si>
    <t>Remlap</t>
  </si>
  <si>
    <t>086°32'12.5"W</t>
  </si>
  <si>
    <t>33°51'52.5"N</t>
  </si>
  <si>
    <t>US-AL-0223</t>
  </si>
  <si>
    <t>US-AL-00745a</t>
  </si>
  <si>
    <t xml:space="preserve">Low Gap </t>
  </si>
  <si>
    <t>Winston</t>
  </si>
  <si>
    <t>Houston</t>
  </si>
  <si>
    <t>971 Daniels Dr &amp; Co 3097</t>
  </si>
  <si>
    <t>087°19'45.0"W</t>
  </si>
  <si>
    <t>34°07'46.5"N</t>
  </si>
  <si>
    <t>Source unknown</t>
  </si>
  <si>
    <t>US-AL-0224a</t>
  </si>
  <si>
    <t>US-AL-00735</t>
  </si>
  <si>
    <t xml:space="preserve">Waid Gap </t>
  </si>
  <si>
    <t>Wade Gap</t>
  </si>
  <si>
    <t>1313 Waid Rd</t>
  </si>
  <si>
    <t>086°31'14.2"W</t>
  </si>
  <si>
    <t>33°52'27.4"N</t>
  </si>
  <si>
    <t>US-AL-0225</t>
  </si>
  <si>
    <t>US-AL-00816</t>
  </si>
  <si>
    <t xml:space="preserve">Portersville Gap </t>
  </si>
  <si>
    <t>DeKalb</t>
  </si>
  <si>
    <t>Portersville</t>
  </si>
  <si>
    <t>CR 483</t>
  </si>
  <si>
    <t>085°49'26.9"W</t>
  </si>
  <si>
    <t>34°19'49.3"N</t>
  </si>
  <si>
    <t>US-AL-0225a</t>
  </si>
  <si>
    <t>US-AL-00738</t>
  </si>
  <si>
    <t xml:space="preserve">Walker Gap </t>
  </si>
  <si>
    <t>Landersville</t>
  </si>
  <si>
    <t>921 Edgar Rd</t>
  </si>
  <si>
    <t>085°55'31.8"W</t>
  </si>
  <si>
    <t>33°54'47.4"N</t>
  </si>
  <si>
    <t>US-AL-0234</t>
  </si>
  <si>
    <t>US-AL-00764</t>
  </si>
  <si>
    <t xml:space="preserve">Nolan Gap </t>
  </si>
  <si>
    <t xml:space="preserve">historical </t>
  </si>
  <si>
    <t>Maysville</t>
  </si>
  <si>
    <t>GR/R1</t>
  </si>
  <si>
    <t>087°18'59.1"W</t>
  </si>
  <si>
    <t>34°04'59.1"N</t>
  </si>
  <si>
    <t>No topographical pass here</t>
  </si>
  <si>
    <t>US-AL-0235a</t>
  </si>
  <si>
    <t>US-AL-00771</t>
  </si>
  <si>
    <t xml:space="preserve">Deep Cut Gap </t>
  </si>
  <si>
    <t>Talladega</t>
  </si>
  <si>
    <t>Hollins</t>
  </si>
  <si>
    <t>2022 Old Rockhouse Rd</t>
  </si>
  <si>
    <t>086°12'03.5"W</t>
  </si>
  <si>
    <t>33°06'31.0"N</t>
  </si>
  <si>
    <t>Just a gash in the hills</t>
  </si>
  <si>
    <t>US-AL-0241a</t>
  </si>
  <si>
    <t>US-AL-00861</t>
  </si>
  <si>
    <t xml:space="preserve">Watkins Cut </t>
  </si>
  <si>
    <t>Odenville</t>
  </si>
  <si>
    <t>086°22'44.6"W</t>
  </si>
  <si>
    <t>33°40'31.9"N</t>
  </si>
  <si>
    <t>US-AL-0249</t>
  </si>
  <si>
    <t>US-AL-00817</t>
  </si>
  <si>
    <t xml:space="preserve">The Narrows </t>
  </si>
  <si>
    <t>Birmingham South</t>
  </si>
  <si>
    <t>U.S.A. 280</t>
  </si>
  <si>
    <t>086°45'34.0"W</t>
  </si>
  <si>
    <t>33°28'010.0"N</t>
  </si>
  <si>
    <t>Defile. Outflow from reservoir</t>
  </si>
  <si>
    <t>US-AL-0262a</t>
  </si>
  <si>
    <t>US-AL-00927</t>
  </si>
  <si>
    <t>Oneonta</t>
  </si>
  <si>
    <t>Boat Landing Rd</t>
  </si>
  <si>
    <t>086°28'56.0"W</t>
  </si>
  <si>
    <t>33°54'08.0"N</t>
  </si>
  <si>
    <t>US-AL-0268</t>
  </si>
  <si>
    <t>US-AL-00973</t>
  </si>
  <si>
    <t xml:space="preserve">Gregory Gap </t>
  </si>
  <si>
    <t>Howelton</t>
  </si>
  <si>
    <t>SR179</t>
  </si>
  <si>
    <t>086°11'29.2"W</t>
  </si>
  <si>
    <t>34°06'20.9"N</t>
  </si>
  <si>
    <t>US-AL-0270</t>
  </si>
  <si>
    <t>US-AL-00950</t>
  </si>
  <si>
    <t xml:space="preserve">Maynor Gap </t>
  </si>
  <si>
    <t>Altoona</t>
  </si>
  <si>
    <t>086°21'010.0"W</t>
  </si>
  <si>
    <t>34°00'22.0"N</t>
  </si>
  <si>
    <t>US-AL-0273</t>
  </si>
  <si>
    <t>US-AL-00882</t>
  </si>
  <si>
    <t xml:space="preserve">Dawson Gap </t>
  </si>
  <si>
    <t>County Road 223</t>
  </si>
  <si>
    <t>085°52'00.3"W</t>
  </si>
  <si>
    <t>34°21'21.9"N</t>
  </si>
  <si>
    <t>US-AL-0281a</t>
  </si>
  <si>
    <t>US-AL-00944</t>
  </si>
  <si>
    <t>Marshall</t>
  </si>
  <si>
    <t>Grove Oak</t>
  </si>
  <si>
    <t>Al-227 &amp; Morgan Cove Rd</t>
  </si>
  <si>
    <t>086°06'08.1"W</t>
  </si>
  <si>
    <t>34°27'11.4"N</t>
  </si>
  <si>
    <t>US-AL-0286</t>
  </si>
  <si>
    <t>US-AL-00987</t>
  </si>
  <si>
    <t xml:space="preserve">Cox Gap </t>
  </si>
  <si>
    <t>Nixon Chapel Gap</t>
  </si>
  <si>
    <t>Brooksville</t>
  </si>
  <si>
    <t>Cr-12 &amp; Fairview Dr &amp; County Road 64</t>
  </si>
  <si>
    <t>086°23'35.0"W</t>
  </si>
  <si>
    <t>34°12'44.0"N</t>
  </si>
  <si>
    <t>US-AL-0292b</t>
  </si>
  <si>
    <t>US-AL-01001</t>
  </si>
  <si>
    <t xml:space="preserve">Chavies Gap </t>
  </si>
  <si>
    <t>Chavies</t>
  </si>
  <si>
    <t>12169 Al-35</t>
  </si>
  <si>
    <t>085°46'56.0"W</t>
  </si>
  <si>
    <t>34°27'11.0"N</t>
  </si>
  <si>
    <t>US-AL-0307a</t>
  </si>
  <si>
    <t>US-AL-01014a</t>
  </si>
  <si>
    <t xml:space="preserve">Mountain Gap </t>
  </si>
  <si>
    <t>Sand Mountain Gap</t>
  </si>
  <si>
    <t>Guin</t>
  </si>
  <si>
    <t>6059 Al-69</t>
  </si>
  <si>
    <t>086°23'22.9"W</t>
  </si>
  <si>
    <t>34°21'39.4"N</t>
  </si>
  <si>
    <t>US-AL-0312a</t>
  </si>
  <si>
    <t>US-AL-01052</t>
  </si>
  <si>
    <t xml:space="preserve">Harrison Gap </t>
  </si>
  <si>
    <t>Albertville</t>
  </si>
  <si>
    <t>4985 Rose Rd</t>
  </si>
  <si>
    <t>086°13'42.1"W</t>
  </si>
  <si>
    <t>34°20'27.0"N</t>
  </si>
  <si>
    <t>No topographic pass here</t>
  </si>
  <si>
    <t>US-AL-0323</t>
  </si>
  <si>
    <t>US-AL-01063</t>
  </si>
  <si>
    <t xml:space="preserve">Hickory Flat </t>
  </si>
  <si>
    <t>Madison</t>
  </si>
  <si>
    <t>Meridianville</t>
  </si>
  <si>
    <t>3997 Hawks Way NE [Huntsville City]</t>
  </si>
  <si>
    <t>086°32'29.0"W</t>
  </si>
  <si>
    <t>34°45'32.0"N</t>
  </si>
  <si>
    <t>US-AL-0331</t>
  </si>
  <si>
    <t>US-AL-01109</t>
  </si>
  <si>
    <t xml:space="preserve">Red Gap </t>
  </si>
  <si>
    <t>Irondale</t>
  </si>
  <si>
    <t>5825 Chalkville Rd</t>
  </si>
  <si>
    <t>086°37'50.7"W</t>
  </si>
  <si>
    <t>33°38'40.0"N</t>
  </si>
  <si>
    <t>US-AL-0377</t>
  </si>
  <si>
    <t>US-AL-01237</t>
  </si>
  <si>
    <t xml:space="preserve">The Dugout </t>
  </si>
  <si>
    <t>King Cove</t>
  </si>
  <si>
    <t>T/S</t>
  </si>
  <si>
    <t>086°18'17.0"W</t>
  </si>
  <si>
    <t>34°56'23.0"N</t>
  </si>
  <si>
    <t>US-AL-0384</t>
  </si>
  <si>
    <t>US-AL-01258</t>
  </si>
  <si>
    <t xml:space="preserve">Dobbins Gap </t>
  </si>
  <si>
    <t>Jackson</t>
  </si>
  <si>
    <t>Swearengin</t>
  </si>
  <si>
    <t>Cr-77 &amp; Horizon Ln</t>
  </si>
  <si>
    <t>086°08'40.0"W</t>
  </si>
  <si>
    <t>34°34'03.8"N</t>
  </si>
  <si>
    <t>US-AL-0385</t>
  </si>
  <si>
    <t>US-AL-01257a</t>
  </si>
  <si>
    <t xml:space="preserve">Swindell Gap </t>
  </si>
  <si>
    <t>Deklalb</t>
  </si>
  <si>
    <t>Troy</t>
  </si>
  <si>
    <t>874 County Road 308</t>
  </si>
  <si>
    <t>085°48'51.5"W</t>
  </si>
  <si>
    <t>34°26'16.6"N</t>
  </si>
  <si>
    <t>US-AL-0396</t>
  </si>
  <si>
    <t>US-AL-01301</t>
  </si>
  <si>
    <t xml:space="preserve">Section Gap </t>
  </si>
  <si>
    <t>Dutton</t>
  </si>
  <si>
    <t>Highway Dr (35)  &amp; Section Ferry Rd</t>
  </si>
  <si>
    <t>085°59'53.6"W</t>
  </si>
  <si>
    <t>34°35'31.6"N</t>
  </si>
  <si>
    <t>Just a cleft in the hill</t>
  </si>
  <si>
    <t>US-AL-0427</t>
  </si>
  <si>
    <t>US-AL-01401</t>
  </si>
  <si>
    <t>St.Clair</t>
  </si>
  <si>
    <t>Blount County 24</t>
  </si>
  <si>
    <t>086°22'47.4"W</t>
  </si>
  <si>
    <t>33°51'36.1"N</t>
  </si>
  <si>
    <t>US-AL-0433</t>
  </si>
  <si>
    <t>US-AL-01403</t>
  </si>
  <si>
    <t xml:space="preserve">Biddle Gap </t>
  </si>
  <si>
    <t>Dugout Valley</t>
  </si>
  <si>
    <t>County Road 120 &amp; County Road 664</t>
  </si>
  <si>
    <t>085°39'37.5"W</t>
  </si>
  <si>
    <t>34°35'33.8"N</t>
  </si>
  <si>
    <t>US-AL-0499</t>
  </si>
  <si>
    <t>US-AL-01652</t>
  </si>
  <si>
    <t xml:space="preserve">Cagle Gap </t>
  </si>
  <si>
    <t>Trenton</t>
  </si>
  <si>
    <t>188 County Road 792</t>
  </si>
  <si>
    <t>085°35'45.0"W</t>
  </si>
  <si>
    <t>34°45'49.0"N</t>
  </si>
  <si>
    <t>US-AZ-0635</t>
  </si>
  <si>
    <t>US-AZ-02080</t>
  </si>
  <si>
    <t>Taliesin Overlook Gap</t>
  </si>
  <si>
    <t>AZ</t>
  </si>
  <si>
    <t>Maricopa</t>
  </si>
  <si>
    <t>Sawik Mountain</t>
  </si>
  <si>
    <t>111°49'36.0"W</t>
  </si>
  <si>
    <t>33°37'06.0"N</t>
  </si>
  <si>
    <t>US-AZ-0725</t>
  </si>
  <si>
    <t>US-AZ-02379</t>
  </si>
  <si>
    <t xml:space="preserve">Gates Pass </t>
  </si>
  <si>
    <t>Pima</t>
  </si>
  <si>
    <t>Quail Spring Wash</t>
  </si>
  <si>
    <t>111°06'03.8"W</t>
  </si>
  <si>
    <t>32°13'21.2"N</t>
  </si>
  <si>
    <t>Signpost - Gateway Saddle</t>
  </si>
  <si>
    <t>US-AZ-0805</t>
  </si>
  <si>
    <t>US-AZ-02684</t>
  </si>
  <si>
    <t xml:space="preserve">Big Hells Gate </t>
  </si>
  <si>
    <t>Yavapai</t>
  </si>
  <si>
    <t>Garfias Mountain</t>
  </si>
  <si>
    <t>112°25'13.0"W</t>
  </si>
  <si>
    <t>33°58'32.0"N</t>
  </si>
  <si>
    <t>US-AZ-0984</t>
  </si>
  <si>
    <t>US-AZ-03232</t>
  </si>
  <si>
    <t xml:space="preserve">Red Hill Pass </t>
  </si>
  <si>
    <t>Gila</t>
  </si>
  <si>
    <t>Globe</t>
  </si>
  <si>
    <t>Bixby Rd</t>
  </si>
  <si>
    <t>110°50'05.3"W</t>
  </si>
  <si>
    <t>33°26'59.9"N</t>
  </si>
  <si>
    <t>US-AZ-1258</t>
  </si>
  <si>
    <t>US-AZ-04121</t>
  </si>
  <si>
    <t xml:space="preserve">Copper Hill </t>
  </si>
  <si>
    <t>110°45'44.0"W</t>
  </si>
  <si>
    <t>33°25'48.3"N</t>
  </si>
  <si>
    <t>US-AZ-1523</t>
  </si>
  <si>
    <t>US-AZ-04985</t>
  </si>
  <si>
    <t>Texas Summit</t>
  </si>
  <si>
    <t>Cochise</t>
  </si>
  <si>
    <t>Dragoon Peak</t>
  </si>
  <si>
    <t>I-10 W</t>
  </si>
  <si>
    <t>110°04'27.0"W</t>
  </si>
  <si>
    <t>32°03'47.0"N</t>
  </si>
  <si>
    <t>US-AZ-1596</t>
  </si>
  <si>
    <t>US-AZ-05410</t>
  </si>
  <si>
    <t xml:space="preserve">South Pass </t>
  </si>
  <si>
    <t>Black Diamond Peak</t>
  </si>
  <si>
    <t>109°53'07.2"W</t>
  </si>
  <si>
    <t>31°47'04.8"N</t>
  </si>
  <si>
    <t>US-AZ-1816</t>
  </si>
  <si>
    <t>US-AZ-06081</t>
  </si>
  <si>
    <t xml:space="preserve">Between the Rocks </t>
  </si>
  <si>
    <t>Apache</t>
  </si>
  <si>
    <t>Mexican Cry Mesa</t>
  </si>
  <si>
    <t>109°21'37.0"W</t>
  </si>
  <si>
    <t>36°35'07.0"N</t>
  </si>
  <si>
    <t>US-AZ-1934a</t>
  </si>
  <si>
    <t>US-AZ-06339</t>
  </si>
  <si>
    <t xml:space="preserve">White Lake Divide </t>
  </si>
  <si>
    <t>Navajo</t>
  </si>
  <si>
    <t>Show Low North</t>
  </si>
  <si>
    <t>ULR 77 &amp; Chemin</t>
  </si>
  <si>
    <t>110°02'52.4"W</t>
  </si>
  <si>
    <t>34°19'59.5"N</t>
  </si>
  <si>
    <t>US-AZ-1947</t>
  </si>
  <si>
    <t>US-AZ-06388</t>
  </si>
  <si>
    <t xml:space="preserve">Adler Saddle </t>
  </si>
  <si>
    <t>Four Peaks</t>
  </si>
  <si>
    <t>Y (Wild)</t>
  </si>
  <si>
    <t>111°18'24.0"W</t>
  </si>
  <si>
    <t>33°40'35.0"N</t>
  </si>
  <si>
    <t>Four Peaks Wilderness</t>
  </si>
  <si>
    <t>US-AZ-1953</t>
  </si>
  <si>
    <t>US-AZ-06384</t>
  </si>
  <si>
    <t xml:space="preserve">Alder Saddle </t>
  </si>
  <si>
    <t>111°18'55.3"W</t>
  </si>
  <si>
    <t>33°40'53.0"N</t>
  </si>
  <si>
    <t>US-AZ-2268</t>
  </si>
  <si>
    <t>US-AZ-07442</t>
  </si>
  <si>
    <t xml:space="preserve">Schultz Pass </t>
  </si>
  <si>
    <t>Schulz Pass</t>
  </si>
  <si>
    <t>Coconino</t>
  </si>
  <si>
    <t>Parks</t>
  </si>
  <si>
    <t>111°58'08.0"W</t>
  </si>
  <si>
    <t>35°19'37.0"N</t>
  </si>
  <si>
    <t>US-AZ-2754</t>
  </si>
  <si>
    <t>US-AZ-09037</t>
  </si>
  <si>
    <t xml:space="preserve">Flys Park </t>
  </si>
  <si>
    <t>Rustler</t>
  </si>
  <si>
    <t>109°17'11.7"W</t>
  </si>
  <si>
    <t>31°52'48.9"N</t>
  </si>
  <si>
    <t>Chiricahua Wilderness</t>
  </si>
  <si>
    <t>US-AZ-2823</t>
  </si>
  <si>
    <t>US-AZ-09266</t>
  </si>
  <si>
    <t xml:space="preserve">Cima Park </t>
  </si>
  <si>
    <t>Chiricahua Peak</t>
  </si>
  <si>
    <t>109°17'15.8"W</t>
  </si>
  <si>
    <t>31°51'40.8"N</t>
  </si>
  <si>
    <t>US-AZ-2827</t>
  </si>
  <si>
    <t>US-AZ-09279</t>
  </si>
  <si>
    <t xml:space="preserve">Round Park </t>
  </si>
  <si>
    <t>Chiricahua Butte</t>
  </si>
  <si>
    <t>109°17'03.5"W</t>
  </si>
  <si>
    <t>31°52'08.2"N</t>
  </si>
  <si>
    <t>US-AZ-2905</t>
  </si>
  <si>
    <t>US-AZ-09513</t>
  </si>
  <si>
    <t xml:space="preserve">Anita Park </t>
  </si>
  <si>
    <t>109°17'15.9"W</t>
  </si>
  <si>
    <t>31°51'09.7"N</t>
  </si>
  <si>
    <t>US-CA-0033</t>
  </si>
  <si>
    <t>US-CA-00107</t>
  </si>
  <si>
    <t xml:space="preserve">Hole in the Head </t>
  </si>
  <si>
    <t>CA</t>
  </si>
  <si>
    <t>Sonoma</t>
  </si>
  <si>
    <t>Bodega Head</t>
  </si>
  <si>
    <t>Westshore Rd &amp; ULR</t>
  </si>
  <si>
    <t>123°03'39.1"W</t>
  </si>
  <si>
    <t>38°18'15.7"N</t>
  </si>
  <si>
    <t>US-CA-0185</t>
  </si>
  <si>
    <t>US-CA-00604</t>
  </si>
  <si>
    <t>Butte</t>
  </si>
  <si>
    <t>Hamlin Canyon</t>
  </si>
  <si>
    <t>1721 Neal Rd</t>
  </si>
  <si>
    <t>121°42'09.3"W</t>
  </si>
  <si>
    <t>39°41'26.0"N</t>
  </si>
  <si>
    <t>US-CA-0202</t>
  </si>
  <si>
    <t>US-CA-00751</t>
  </si>
  <si>
    <t xml:space="preserve">Redmond Cut </t>
  </si>
  <si>
    <t>Alameda</t>
  </si>
  <si>
    <t>Midway</t>
  </si>
  <si>
    <t>121°37'27.4"W</t>
  </si>
  <si>
    <t>37°43'47.8"N</t>
  </si>
  <si>
    <t>Just a Railway cutting</t>
  </si>
  <si>
    <t>US-CA-0244</t>
  </si>
  <si>
    <t>US-CA-00868</t>
  </si>
  <si>
    <t>Devils Den</t>
  </si>
  <si>
    <t>Kern</t>
  </si>
  <si>
    <t>Sawtooth Ridge</t>
  </si>
  <si>
    <t>120°02'46.3"W</t>
  </si>
  <si>
    <t>35°44'12.3"N</t>
  </si>
  <si>
    <t>US-CA-0315</t>
  </si>
  <si>
    <t>US-CA-01029</t>
  </si>
  <si>
    <t xml:space="preserve">El Campo </t>
  </si>
  <si>
    <t>Kings</t>
  </si>
  <si>
    <t>Kettleman Plain</t>
  </si>
  <si>
    <t>120°00'27.1"W</t>
  </si>
  <si>
    <t>35°59'07.0"N</t>
  </si>
  <si>
    <t>US-CA-0450</t>
  </si>
  <si>
    <t>US-CA-01480</t>
  </si>
  <si>
    <t xml:space="preserve">Dulzura Summit </t>
  </si>
  <si>
    <t>San Diego</t>
  </si>
  <si>
    <t>Tecate</t>
  </si>
  <si>
    <t>116°44'14.7"W</t>
  </si>
  <si>
    <t>32°36'43.9"N</t>
  </si>
  <si>
    <t>US-CA-0458</t>
  </si>
  <si>
    <t>US-CA-01496</t>
  </si>
  <si>
    <t>Tehama</t>
  </si>
  <si>
    <t>Acorn Hollow</t>
  </si>
  <si>
    <t>121°54'57.1"W</t>
  </si>
  <si>
    <t>40°04'49.8"N</t>
  </si>
  <si>
    <t>US-CA-0483</t>
  </si>
  <si>
    <t>US-CA-01613</t>
  </si>
  <si>
    <t xml:space="preserve">Devils Gateway </t>
  </si>
  <si>
    <t>Ventura</t>
  </si>
  <si>
    <t>Cobblestone Mountain</t>
  </si>
  <si>
    <t>118°48'10.1"W</t>
  </si>
  <si>
    <t>34°32'58.0"N</t>
  </si>
  <si>
    <t>Sespe Wilderness</t>
  </si>
  <si>
    <t>US-CA-0485</t>
  </si>
  <si>
    <t>US-CA-02510</t>
  </si>
  <si>
    <t xml:space="preserve">San Gorgonio Pass </t>
  </si>
  <si>
    <t>Riverside</t>
  </si>
  <si>
    <t>Beaumont</t>
  </si>
  <si>
    <t>Birdie Dr &amp; Myrtle Beach Dr</t>
  </si>
  <si>
    <t>116°45'03.1"W</t>
  </si>
  <si>
    <t>33°55'00.1"N</t>
  </si>
  <si>
    <t>US-CA-0583a</t>
  </si>
  <si>
    <t>US-CA-01945</t>
  </si>
  <si>
    <t xml:space="preserve">Hole in the Wall </t>
  </si>
  <si>
    <t>Inyo</t>
  </si>
  <si>
    <t>Echo Canyon</t>
  </si>
  <si>
    <t>116°43'24.0"W</t>
  </si>
  <si>
    <t>36°24'53.0"N</t>
  </si>
  <si>
    <t>Death Valley Wilderness</t>
  </si>
  <si>
    <t>US-CA-0613a</t>
  </si>
  <si>
    <t>US-CA-02010</t>
  </si>
  <si>
    <t xml:space="preserve">Shotgun Pass </t>
  </si>
  <si>
    <t>Humboldt</t>
  </si>
  <si>
    <t>Panther Creek</t>
  </si>
  <si>
    <t>123°59'46.0"W</t>
  </si>
  <si>
    <t>41°07'05.0"N</t>
  </si>
  <si>
    <t>US-CA-0762</t>
  </si>
  <si>
    <t>US-CA-02495</t>
  </si>
  <si>
    <t xml:space="preserve">Little Bear Trap </t>
  </si>
  <si>
    <t>Monterey</t>
  </si>
  <si>
    <t>Ventana Cones</t>
  </si>
  <si>
    <t>121°37'48.9"W</t>
  </si>
  <si>
    <t>36°21'26.8"N</t>
  </si>
  <si>
    <t>Ventana Wilderness</t>
  </si>
  <si>
    <t>US-CA-1131</t>
  </si>
  <si>
    <t>US-CA-03741</t>
  </si>
  <si>
    <t xml:space="preserve">Three Corners </t>
  </si>
  <si>
    <t>San Benito</t>
  </si>
  <si>
    <t>Rock Spring Peak</t>
  </si>
  <si>
    <t>120°54'19.5"W</t>
  </si>
  <si>
    <t>36°27'29.8"N</t>
  </si>
  <si>
    <t>US-CA-1148</t>
  </si>
  <si>
    <t>US-CA-03753</t>
  </si>
  <si>
    <t xml:space="preserve">Cherry Thicket </t>
  </si>
  <si>
    <t>Chews Ridge</t>
  </si>
  <si>
    <t>121°36'10.9"W</t>
  </si>
  <si>
    <t>36°20'26.3"N</t>
  </si>
  <si>
    <t>US-CA-1199</t>
  </si>
  <si>
    <t>US-CA-03922</t>
  </si>
  <si>
    <t xml:space="preserve">Bartlett Mountain Summit </t>
  </si>
  <si>
    <t>Lake</t>
  </si>
  <si>
    <t>Bartlett Mountain</t>
  </si>
  <si>
    <t>122°46'36.5"W</t>
  </si>
  <si>
    <t>39°08'04.3"N</t>
  </si>
  <si>
    <t>US-CA-1286</t>
  </si>
  <si>
    <t>US-CA-04196</t>
  </si>
  <si>
    <t xml:space="preserve">Halloran Summit </t>
  </si>
  <si>
    <t>San Bernardino</t>
  </si>
  <si>
    <t>Solomons Knob</t>
  </si>
  <si>
    <t>Access Road  I-15</t>
  </si>
  <si>
    <t>115°47'27.7"W</t>
  </si>
  <si>
    <t>35°23'13.5"N</t>
  </si>
  <si>
    <t>Summit</t>
  </si>
  <si>
    <t>US-CA-1309a</t>
  </si>
  <si>
    <t>US-CA-04296</t>
  </si>
  <si>
    <t xml:space="preserve">Hole-in-the Wall </t>
  </si>
  <si>
    <t>Columbia Mountain</t>
  </si>
  <si>
    <t>115°23'53.8"W</t>
  </si>
  <si>
    <t>35°02'38.0"N</t>
  </si>
  <si>
    <t>US-CA-1428</t>
  </si>
  <si>
    <t>US-AZ-04718</t>
  </si>
  <si>
    <t xml:space="preserve">Six Shooter Pass </t>
  </si>
  <si>
    <t>Siskiyou</t>
  </si>
  <si>
    <t>Bonita Butte</t>
  </si>
  <si>
    <t>LR</t>
  </si>
  <si>
    <t>121°43'02.0"W</t>
  </si>
  <si>
    <t>41°43'38.0"N</t>
  </si>
  <si>
    <t>US-CA-1496</t>
  </si>
  <si>
    <t>US-CA-04908</t>
  </si>
  <si>
    <t xml:space="preserve">Jack Rabbit Flat </t>
  </si>
  <si>
    <t>Jack Rabbit Valley</t>
  </si>
  <si>
    <t>Dinsmore</t>
  </si>
  <si>
    <t>123°34'55.6"W</t>
  </si>
  <si>
    <t>40°26'25.4"N</t>
  </si>
  <si>
    <t>US-CA-1670</t>
  </si>
  <si>
    <t>US-CA-05518</t>
  </si>
  <si>
    <t xml:space="preserve">Kelley Pass </t>
  </si>
  <si>
    <t>121°40'53.0"W</t>
  </si>
  <si>
    <t>41°39'33.9"N</t>
  </si>
  <si>
    <t>US-CA-1713</t>
  </si>
  <si>
    <t>US-CA-05620</t>
  </si>
  <si>
    <t xml:space="preserve">False Gap </t>
  </si>
  <si>
    <t>Tennant</t>
  </si>
  <si>
    <t>121°54'10.9"W</t>
  </si>
  <si>
    <t>41°30'45.2"N</t>
  </si>
  <si>
    <t>US-CA-1894</t>
  </si>
  <si>
    <t>US-CA-06208</t>
  </si>
  <si>
    <t xml:space="preserve">Salmon </t>
  </si>
  <si>
    <t>Trinity</t>
  </si>
  <si>
    <t>Mumbo Basin</t>
  </si>
  <si>
    <t>122°32'37.0"W</t>
  </si>
  <si>
    <t>41°10'18.0"N</t>
  </si>
  <si>
    <t>US-CA-2361</t>
  </si>
  <si>
    <t>US-CA-07743</t>
  </si>
  <si>
    <t xml:space="preserve">Middle Fork Jumpoff </t>
  </si>
  <si>
    <t>San Gorgonio Mountain</t>
  </si>
  <si>
    <t>116°47'55.9"W</t>
  </si>
  <si>
    <t>34°04'06.1"N</t>
  </si>
  <si>
    <t>San Gorgonio Wilderness</t>
  </si>
  <si>
    <t>US-CA-2401</t>
  </si>
  <si>
    <t>US-CA-07880</t>
  </si>
  <si>
    <t xml:space="preserve">Webber Pass </t>
  </si>
  <si>
    <t>Sierra</t>
  </si>
  <si>
    <t>Webber Peak</t>
  </si>
  <si>
    <t>120°26'26.0"W</t>
  </si>
  <si>
    <t>39°28'53.0"N</t>
  </si>
  <si>
    <t>US-CA-2577</t>
  </si>
  <si>
    <t>US-CA-08431</t>
  </si>
  <si>
    <t xml:space="preserve">Mill Creek Jumpoff </t>
  </si>
  <si>
    <t>116°50'33.9"W</t>
  </si>
  <si>
    <t>34°04'34.4"N</t>
  </si>
  <si>
    <t>US-CA-2960</t>
  </si>
  <si>
    <t>US-CA-09708</t>
  </si>
  <si>
    <t xml:space="preserve">Wellman Divide </t>
  </si>
  <si>
    <t>San Jacinto Peak</t>
  </si>
  <si>
    <t>116°40'27.7"W</t>
  </si>
  <si>
    <t>33°47'57.8"N</t>
  </si>
  <si>
    <t>US-CA-3380</t>
  </si>
  <si>
    <t>US-CA-11089</t>
  </si>
  <si>
    <t xml:space="preserve">Parker Pass </t>
  </si>
  <si>
    <t>Mono</t>
  </si>
  <si>
    <t>Koip Peak</t>
  </si>
  <si>
    <t>119°12'27.0"W</t>
  </si>
  <si>
    <t>37°50'19.0"N</t>
  </si>
  <si>
    <t>Ansel Adams Wilderness</t>
  </si>
  <si>
    <t>US-CA-3822</t>
  </si>
  <si>
    <t>US-CA-12506</t>
  </si>
  <si>
    <t xml:space="preserve">The Keyhole </t>
  </si>
  <si>
    <t>Fresno</t>
  </si>
  <si>
    <t>Mount Darwin</t>
  </si>
  <si>
    <t>118°41'16.9"W</t>
  </si>
  <si>
    <t>37°12'52.6"N</t>
  </si>
  <si>
    <t>Sequoia-Kings Canyon Wilderness</t>
  </si>
  <si>
    <t>US-CA-4166</t>
  </si>
  <si>
    <t>US-CA-13580</t>
  </si>
  <si>
    <t xml:space="preserve">Trail Crest </t>
  </si>
  <si>
    <t>Tulare</t>
  </si>
  <si>
    <t>Mount Whitney</t>
  </si>
  <si>
    <t>118°17'28.6"W</t>
  </si>
  <si>
    <t>36°33'32.4"N</t>
  </si>
  <si>
    <t>US-CO-1347</t>
  </si>
  <si>
    <t>US-CO-04419</t>
  </si>
  <si>
    <t xml:space="preserve">North Pawnee Pass </t>
  </si>
  <si>
    <t>CO</t>
  </si>
  <si>
    <t>Logan</t>
  </si>
  <si>
    <t>Wild Horse Lake</t>
  </si>
  <si>
    <t>ULR</t>
  </si>
  <si>
    <t>103°29'20.3"W</t>
  </si>
  <si>
    <t>40°37'45.1"N</t>
  </si>
  <si>
    <t>US-CO-1350</t>
  </si>
  <si>
    <t>US-CO-04429</t>
  </si>
  <si>
    <t xml:space="preserve">Pawnee Pass </t>
  </si>
  <si>
    <t>Willard</t>
  </si>
  <si>
    <t>ULR 14 &amp; Cr-11</t>
  </si>
  <si>
    <t>103°29'12.3"W</t>
  </si>
  <si>
    <t>40°37'16.9"N</t>
  </si>
  <si>
    <t>US-CO-1466</t>
  </si>
  <si>
    <t>US-CO-04803</t>
  </si>
  <si>
    <t xml:space="preserve">Shale Hills </t>
  </si>
  <si>
    <t>Otero</t>
  </si>
  <si>
    <t>Packers Gap</t>
  </si>
  <si>
    <t>103°38'47.5"W</t>
  </si>
  <si>
    <t>37°44'49.2"N</t>
  </si>
  <si>
    <t>US-CO-1539</t>
  </si>
  <si>
    <t>US-CO-05050</t>
  </si>
  <si>
    <t xml:space="preserve">Piñon Park Hill </t>
  </si>
  <si>
    <t>Las Animas</t>
  </si>
  <si>
    <t>Beaty Canyon</t>
  </si>
  <si>
    <t>103°31'16.1"W</t>
  </si>
  <si>
    <t>37°31'06.1"N</t>
  </si>
  <si>
    <t>US-CO-1844</t>
  </si>
  <si>
    <t>US-CO-06043</t>
  </si>
  <si>
    <t xml:space="preserve">Ninemile Hill </t>
  </si>
  <si>
    <t>Moffat</t>
  </si>
  <si>
    <t>Triangle Mesa</t>
  </si>
  <si>
    <t>108°11'03.9"W</t>
  </si>
  <si>
    <t>40°42'41.9"N</t>
  </si>
  <si>
    <t>USGS</t>
  </si>
  <si>
    <t>US-CO-1890</t>
  </si>
  <si>
    <t>US-CO-06207</t>
  </si>
  <si>
    <t xml:space="preserve">Miller Hill </t>
  </si>
  <si>
    <t>Rio Blanco</t>
  </si>
  <si>
    <t>Square S Ranch</t>
  </si>
  <si>
    <t>108°17'24.7"W</t>
  </si>
  <si>
    <t>39°53'05.6"N</t>
  </si>
  <si>
    <t>US-CO-1891</t>
  </si>
  <si>
    <t>US-CO-05904</t>
  </si>
  <si>
    <t xml:space="preserve">Yuri Pass </t>
  </si>
  <si>
    <t>Boulder</t>
  </si>
  <si>
    <t>Eldorado Springs</t>
  </si>
  <si>
    <t>105°17'03.1"W</t>
  </si>
  <si>
    <t>39°58'42.6"N</t>
  </si>
  <si>
    <t xml:space="preserve">
Helmuth
Boulder-area hiking guides</t>
  </si>
  <si>
    <t>Hiking guide invalid as a source</t>
  </si>
  <si>
    <t>US-CO-1922</t>
  </si>
  <si>
    <t>US-CO-06300</t>
  </si>
  <si>
    <t xml:space="preserve">The Tights </t>
  </si>
  <si>
    <t>Fremont</t>
  </si>
  <si>
    <t>Royal Gorge</t>
  </si>
  <si>
    <t>OT/HS 400m &lt; FT</t>
  </si>
  <si>
    <t>105°21'07.0"W</t>
  </si>
  <si>
    <t>38°22'33.0"N</t>
  </si>
  <si>
    <t>US-CO-2046</t>
  </si>
  <si>
    <t>US-CO-06713</t>
  </si>
  <si>
    <t xml:space="preserve">Sevenmile Hill </t>
  </si>
  <si>
    <t>Pine Ridge</t>
  </si>
  <si>
    <t>530 Knoll Ave</t>
  </si>
  <si>
    <t>107°40'47.1"W</t>
  </si>
  <si>
    <t>40°31'17.4"N</t>
  </si>
  <si>
    <t>US-CO-2046a</t>
  </si>
  <si>
    <t>US-CO-06722</t>
  </si>
  <si>
    <t xml:space="preserve">Smelter Hill </t>
  </si>
  <si>
    <t>Northeast Pueblo</t>
  </si>
  <si>
    <t>108°38'37.4"W</t>
  </si>
  <si>
    <t>40°34'33.9"N</t>
  </si>
  <si>
    <t>US-CO-2085</t>
  </si>
  <si>
    <t>US-CO-06863</t>
  </si>
  <si>
    <t xml:space="preserve">Rainbow Cut </t>
  </si>
  <si>
    <t>105°16'41.5"W</t>
  </si>
  <si>
    <t>39°53'51.8"N</t>
  </si>
  <si>
    <t>US-CO-2090</t>
  </si>
  <si>
    <t>US-CO-06817</t>
  </si>
  <si>
    <t xml:space="preserve">Mountain Shadows Pass </t>
  </si>
  <si>
    <t>El Paso</t>
  </si>
  <si>
    <t>Cascade</t>
  </si>
  <si>
    <t>Piste</t>
  </si>
  <si>
    <t>104°52'30.1"W</t>
  </si>
  <si>
    <t>38°55'03.5"N</t>
  </si>
  <si>
    <t>Sign on the road but no topographic pass here</t>
  </si>
  <si>
    <t>US-CO-2092</t>
  </si>
  <si>
    <t>US-CO-06913</t>
  </si>
  <si>
    <t xml:space="preserve">The Saddle </t>
  </si>
  <si>
    <t>Montrose</t>
  </si>
  <si>
    <t>Camel Back</t>
  </si>
  <si>
    <t>108°13'54.3"W</t>
  </si>
  <si>
    <t>38°32'34.8"N</t>
  </si>
  <si>
    <t>US-CO-2100</t>
  </si>
  <si>
    <t>US-CO-06840</t>
  </si>
  <si>
    <t xml:space="preserve">Limestone Hill </t>
  </si>
  <si>
    <t>Limestone Hill</t>
  </si>
  <si>
    <t>108°35'58.4"W</t>
  </si>
  <si>
    <t>40°34'11.0"N</t>
  </si>
  <si>
    <t>US-CO-2201</t>
  </si>
  <si>
    <t>US-CO-07210</t>
  </si>
  <si>
    <t xml:space="preserve">Twentymile Divide </t>
  </si>
  <si>
    <t>Routt</t>
  </si>
  <si>
    <t>Cow Creek</t>
  </si>
  <si>
    <t>35082 Cr-33</t>
  </si>
  <si>
    <t>106°56'16.0"W</t>
  </si>
  <si>
    <t>40°26'33.5"N</t>
  </si>
  <si>
    <t>Helmuth
Routt County historical guide</t>
  </si>
  <si>
    <t>Unofficial historical information invalid as a source</t>
  </si>
  <si>
    <t>US-CO-2228</t>
  </si>
  <si>
    <t>US-CO-07300</t>
  </si>
  <si>
    <t>Gunnison</t>
  </si>
  <si>
    <t>Bull Mountain</t>
  </si>
  <si>
    <t>OT/HS 849(LR) - FT</t>
  </si>
  <si>
    <t>107°24'35.0"W</t>
  </si>
  <si>
    <t>39°03'16.0"N</t>
  </si>
  <si>
    <t>US-CO-2233</t>
  </si>
  <si>
    <t>US-CO-07314</t>
  </si>
  <si>
    <t xml:space="preserve">Windy Saddle </t>
  </si>
  <si>
    <t>Morrison</t>
  </si>
  <si>
    <t>105°14'28.9"W</t>
  </si>
  <si>
    <t>39°43'49.4"N</t>
  </si>
  <si>
    <t>US-CO-2241</t>
  </si>
  <si>
    <t>US-CO-07402</t>
  </si>
  <si>
    <t xml:space="preserve">Monument Hill Divide </t>
  </si>
  <si>
    <t>Douglas</t>
  </si>
  <si>
    <t>Larkspur</t>
  </si>
  <si>
    <t>County Line Rd &amp; Indi Dr</t>
  </si>
  <si>
    <t>104°51'54.0"W</t>
  </si>
  <si>
    <t>39°07'19.8"N</t>
  </si>
  <si>
    <t>Helmuth
Historic location
Sign only Monument Hill</t>
  </si>
  <si>
    <t>US-CO-2243</t>
  </si>
  <si>
    <t>US-CO-07358</t>
  </si>
  <si>
    <t xml:space="preserve">Yellowjacket Pass </t>
  </si>
  <si>
    <t>Dunckley Pass</t>
  </si>
  <si>
    <t>107°08'34.0"W</t>
  </si>
  <si>
    <t>40°09'21.0"N</t>
  </si>
  <si>
    <t>US-CO-2307</t>
  </si>
  <si>
    <t>US-CO-07580</t>
  </si>
  <si>
    <t xml:space="preserve">Height Divide </t>
  </si>
  <si>
    <t>Hite Divide</t>
  </si>
  <si>
    <t>Dunckley</t>
  </si>
  <si>
    <t>107°12'06.5"W</t>
  </si>
  <si>
    <t>40°21'23.5"N</t>
  </si>
  <si>
    <t>Helmuth
Named after George Hite</t>
  </si>
  <si>
    <t>US-CO-2312</t>
  </si>
  <si>
    <t>US-CO-07572</t>
  </si>
  <si>
    <t xml:space="preserve">Sagebrush Hill </t>
  </si>
  <si>
    <t>Sagebrush Hill</t>
  </si>
  <si>
    <t>108°33'02.6"W</t>
  </si>
  <si>
    <t>39°54'52.7"N</t>
  </si>
  <si>
    <t>US-CO-2340</t>
  </si>
  <si>
    <t>US-CO-07660</t>
  </si>
  <si>
    <t xml:space="preserve">Blue Hill </t>
  </si>
  <si>
    <t>Eagle</t>
  </si>
  <si>
    <t>Cottonwood Pass</t>
  </si>
  <si>
    <t>107°01'38.2"W</t>
  </si>
  <si>
    <t>39°34'30.2"N</t>
  </si>
  <si>
    <t>US-CO-2345</t>
  </si>
  <si>
    <t>US-CO-07700</t>
  </si>
  <si>
    <t>Stuart Hole</t>
  </si>
  <si>
    <t>Larimer</t>
  </si>
  <si>
    <t>Haystack Gulch</t>
  </si>
  <si>
    <t>105°27'24.8"W</t>
  </si>
  <si>
    <t>40°49'49.3"N</t>
  </si>
  <si>
    <t>US-CO-2362</t>
  </si>
  <si>
    <t>US-CO-08743</t>
  </si>
  <si>
    <t xml:space="preserve">Golden Gate Pass </t>
  </si>
  <si>
    <t>Gilpin</t>
  </si>
  <si>
    <t>Black Hawk</t>
  </si>
  <si>
    <t>6028 Golden Gate Canyon Rd (46)</t>
  </si>
  <si>
    <t>105°19'51.9"W</t>
  </si>
  <si>
    <t>39°47'00.8"N</t>
  </si>
  <si>
    <t>Helmuth
Old crossing well used in earlier years</t>
  </si>
  <si>
    <t>US-CO-2394</t>
  </si>
  <si>
    <t>US-CO-07867</t>
  </si>
  <si>
    <t xml:space="preserve">Confar Hill </t>
  </si>
  <si>
    <t>Archuleta</t>
  </si>
  <si>
    <t>Chromo</t>
  </si>
  <si>
    <t>USA 84</t>
  </si>
  <si>
    <t>106°50'06.0"W</t>
  </si>
  <si>
    <t>37°04'27.4"N</t>
  </si>
  <si>
    <t>Signpost CDOT</t>
  </si>
  <si>
    <t>US-CO-2397</t>
  </si>
  <si>
    <t>US-CO-07870</t>
  </si>
  <si>
    <t xml:space="preserve">Buckhorn Pass </t>
  </si>
  <si>
    <t>Manitou Springs</t>
  </si>
  <si>
    <t>104°53'58.6"W</t>
  </si>
  <si>
    <t>38°48'02.2"N</t>
  </si>
  <si>
    <t>Helmuth
Named by James Grafton Rodgers</t>
  </si>
  <si>
    <t>US-CO-2412</t>
  </si>
  <si>
    <t>US-CO-07920</t>
  </si>
  <si>
    <t xml:space="preserve">Floyd Hill </t>
  </si>
  <si>
    <t>Squaw Pass</t>
  </si>
  <si>
    <t>37631 U.S.A. 40</t>
  </si>
  <si>
    <t>105°24'52.0"W</t>
  </si>
  <si>
    <t>39°43'23.0"N</t>
  </si>
  <si>
    <t>Just an exit sign to a hilly suburb</t>
  </si>
  <si>
    <t>US-CO-2443</t>
  </si>
  <si>
    <t>US-CO-08230</t>
  </si>
  <si>
    <t xml:space="preserve">Hesperus Pass </t>
  </si>
  <si>
    <t>La Plata</t>
  </si>
  <si>
    <t>Hesperus</t>
  </si>
  <si>
    <t>DR/R CR-125 800m from paved rd</t>
  </si>
  <si>
    <t>108°01'29.7"W</t>
  </si>
  <si>
    <t>37°15'40.9"N</t>
  </si>
  <si>
    <t>Helmuth
Named by Hayden survey party</t>
  </si>
  <si>
    <t>US-CO-2456</t>
  </si>
  <si>
    <t>US-CO-08052</t>
  </si>
  <si>
    <t xml:space="preserve">Park Hill </t>
  </si>
  <si>
    <t>Panorama Peak</t>
  </si>
  <si>
    <t>3654 U.S.A. 36</t>
  </si>
  <si>
    <t>105°27'20.3"W</t>
  </si>
  <si>
    <t>40°21'24.8"N</t>
  </si>
  <si>
    <t>US-CO-2476</t>
  </si>
  <si>
    <t>US-CO-08122</t>
  </si>
  <si>
    <t xml:space="preserve">Camman Spring Pass </t>
  </si>
  <si>
    <t>Rustic</t>
  </si>
  <si>
    <t>105°31'21.0"W</t>
  </si>
  <si>
    <t>40°38'37.0"N</t>
  </si>
  <si>
    <t>US-CO-2509</t>
  </si>
  <si>
    <t>US-CO-08236</t>
  </si>
  <si>
    <t xml:space="preserve">Mocassin Pass </t>
  </si>
  <si>
    <t>Longs Peak</t>
  </si>
  <si>
    <t>Bear Lake Rd [Rocky Mountain NP]</t>
  </si>
  <si>
    <t>105°34'58.0"W</t>
  </si>
  <si>
    <t>40°21'37.0"N</t>
  </si>
  <si>
    <t>Rocky Mountain National Park</t>
  </si>
  <si>
    <t>US-CO-2510</t>
  </si>
  <si>
    <t>US-CO-08235</t>
  </si>
  <si>
    <t xml:space="preserve">Gold Hill </t>
  </si>
  <si>
    <t>Culbertson Pass</t>
  </si>
  <si>
    <t>Gold Hill</t>
  </si>
  <si>
    <t>105°24'30.0"W</t>
  </si>
  <si>
    <t>40°03'49.6"N</t>
  </si>
  <si>
    <t>US-CO-2579</t>
  </si>
  <si>
    <t>US-CO-08400</t>
  </si>
  <si>
    <t xml:space="preserve">Gill Creek Divide </t>
  </si>
  <si>
    <t>Mesa</t>
  </si>
  <si>
    <t>Snyder Flats</t>
  </si>
  <si>
    <t>108°38'54.0"W</t>
  </si>
  <si>
    <t>38°46'11.9"N</t>
  </si>
  <si>
    <t>Just un access point to a plateau</t>
  </si>
  <si>
    <t>US-CO-2598</t>
  </si>
  <si>
    <t>US-CO-08300</t>
  </si>
  <si>
    <t xml:space="preserve">Crow Hill </t>
  </si>
  <si>
    <t>Park</t>
  </si>
  <si>
    <t>Bailey</t>
  </si>
  <si>
    <t>64653 U.S.A. 285</t>
  </si>
  <si>
    <t>105°27'47.8"W</t>
  </si>
  <si>
    <t>39°25'57.9"N</t>
  </si>
  <si>
    <t>Helmuth
CDOT signpost</t>
  </si>
  <si>
    <t>US-CO-2618</t>
  </si>
  <si>
    <t>US-CO-08592</t>
  </si>
  <si>
    <t xml:space="preserve">Wet Canyon Pass </t>
  </si>
  <si>
    <t>LasAnimas</t>
  </si>
  <si>
    <t>Herlick Canyon</t>
  </si>
  <si>
    <t>104°57'14.3"W</t>
  </si>
  <si>
    <t>37°17'31.5"N</t>
  </si>
  <si>
    <t>Historical</t>
  </si>
  <si>
    <t>US-CO-2630</t>
  </si>
  <si>
    <t>US-CO-08560a</t>
  </si>
  <si>
    <t xml:space="preserve">Pingree Hill </t>
  </si>
  <si>
    <t>105°34'32.5"W</t>
  </si>
  <si>
    <t>40°43'22.3"N</t>
  </si>
  <si>
    <t>US-CO-2650</t>
  </si>
  <si>
    <t>US-CO-08695</t>
  </si>
  <si>
    <t xml:space="preserve">Columbine Pass </t>
  </si>
  <si>
    <t>Hahns Peak</t>
  </si>
  <si>
    <t>106°58'00.9"W</t>
  </si>
  <si>
    <t>40°51'08.6"N</t>
  </si>
  <si>
    <t>Helmuth
Identified by Colorado Mountain Club 1920s</t>
  </si>
  <si>
    <t>Colorado Mountain Club info not yet considered valid</t>
  </si>
  <si>
    <t>US-CO-2660</t>
  </si>
  <si>
    <t>US-CO-08730</t>
  </si>
  <si>
    <t xml:space="preserve">The Notch </t>
  </si>
  <si>
    <t>Hinsdale</t>
  </si>
  <si>
    <t>Oakbrush</t>
  </si>
  <si>
    <t>107°08'52.4"W</t>
  </si>
  <si>
    <t>37°29'18.0"N</t>
  </si>
  <si>
    <t>No sign of a gap/pass here</t>
  </si>
  <si>
    <t>US-CO-2667</t>
  </si>
  <si>
    <t>US-CO-08740</t>
  </si>
  <si>
    <t xml:space="preserve">Jack's Cabin Pass </t>
  </si>
  <si>
    <t>Almont</t>
  </si>
  <si>
    <t>106°48'48.6"W</t>
  </si>
  <si>
    <t>38°43'30.4"N</t>
  </si>
  <si>
    <t>Helmuth
Named after Jack's Cabin community</t>
  </si>
  <si>
    <t>US-CO-2686</t>
  </si>
  <si>
    <t>US-CO-08779</t>
  </si>
  <si>
    <t xml:space="preserve">McGregor Pass </t>
  </si>
  <si>
    <t>Estes Park</t>
  </si>
  <si>
    <t>105°33'58.8"W</t>
  </si>
  <si>
    <t>40°24'14.9"N</t>
  </si>
  <si>
    <t>Helmuth
Identified by Enos Mills naturalist</t>
  </si>
  <si>
    <t>US-CO-2757</t>
  </si>
  <si>
    <t>US-CO-09045</t>
  </si>
  <si>
    <t xml:space="preserve">Cottonwood Divide </t>
  </si>
  <si>
    <t>107°04'29.0"W</t>
  </si>
  <si>
    <t>39°32'58.9"N</t>
  </si>
  <si>
    <t>Just an access point to a plateau</t>
  </si>
  <si>
    <t>Custer</t>
  </si>
  <si>
    <t>US-CO-2823</t>
  </si>
  <si>
    <t>US-CO-09259</t>
  </si>
  <si>
    <t xml:space="preserve">Hardscrabble Pass Old </t>
  </si>
  <si>
    <t>Rosita</t>
  </si>
  <si>
    <t>DR/R Columbine Crest</t>
  </si>
  <si>
    <t>105°19'31.3"W</t>
  </si>
  <si>
    <t>38°06'43.0"N</t>
  </si>
  <si>
    <t>Helmuth
Ormes Colorado Skylines</t>
  </si>
  <si>
    <t>US-CO-2865</t>
  </si>
  <si>
    <t>US-CO-09495</t>
  </si>
  <si>
    <t xml:space="preserve">East Hightower  Mt. Pass </t>
  </si>
  <si>
    <t>Spruce Mountain</t>
  </si>
  <si>
    <t>107°32'10.8"W</t>
  </si>
  <si>
    <t>39°13'58.5"N</t>
  </si>
  <si>
    <t>Helmuth
Historical</t>
  </si>
  <si>
    <t>US-CO-2871</t>
  </si>
  <si>
    <t>US-CO-09416</t>
  </si>
  <si>
    <t xml:space="preserve">Tracy Hill </t>
  </si>
  <si>
    <t>Teller</t>
  </si>
  <si>
    <t>Divide</t>
  </si>
  <si>
    <t>21473 ULR 67</t>
  </si>
  <si>
    <t>105°09'35.1"W</t>
  </si>
  <si>
    <t>38°53'59.9"N</t>
  </si>
  <si>
    <t>US-CO-2880</t>
  </si>
  <si>
    <t>US-CO-09492</t>
  </si>
  <si>
    <t xml:space="preserve">Windy Point Pass </t>
  </si>
  <si>
    <t>Windy Point</t>
  </si>
  <si>
    <t>108°31'53.4"W</t>
  </si>
  <si>
    <t>38°27'07.2"N</t>
  </si>
  <si>
    <t>US-CO-2884</t>
  </si>
  <si>
    <t>US-CO-09460</t>
  </si>
  <si>
    <t xml:space="preserve">Manzaneres Pass </t>
  </si>
  <si>
    <t>Costilla</t>
  </si>
  <si>
    <t>Red Wing</t>
  </si>
  <si>
    <t>105°19'15.4"W</t>
  </si>
  <si>
    <t>37°38'48.4"N</t>
  </si>
  <si>
    <t>Helmuth
Named after Señor Manzanares</t>
  </si>
  <si>
    <t>US-CO-2907</t>
  </si>
  <si>
    <t>US-CO-09562</t>
  </si>
  <si>
    <t xml:space="preserve">Beacon Hill </t>
  </si>
  <si>
    <t>Cripple Creek South</t>
  </si>
  <si>
    <t>Co-67 &amp; El Paso Rd &amp; County Road 882</t>
  </si>
  <si>
    <t>105°09'53.7"W</t>
  </si>
  <si>
    <t>38°43'19.7"N</t>
  </si>
  <si>
    <t>US-CO-2925</t>
  </si>
  <si>
    <t>US-CO-10041</t>
  </si>
  <si>
    <t xml:space="preserve">Indian Creek Pass </t>
  </si>
  <si>
    <t>Mc Carty Park</t>
  </si>
  <si>
    <t>105°09'27.6"W</t>
  </si>
  <si>
    <t>37°27'26.6"N</t>
  </si>
  <si>
    <t>Helmuth
Historical sources</t>
  </si>
  <si>
    <t>US-CO-2927</t>
  </si>
  <si>
    <t>US-CO-09582</t>
  </si>
  <si>
    <t xml:space="preserve">River Hill </t>
  </si>
  <si>
    <t>Little Squaw Creek</t>
  </si>
  <si>
    <t>107°12'49.7"W</t>
  </si>
  <si>
    <t>37°44'20.2"N</t>
  </si>
  <si>
    <t>US-CO-2930</t>
  </si>
  <si>
    <t>US-CO-09611</t>
  </si>
  <si>
    <t xml:space="preserve">Chillycoat Pass </t>
  </si>
  <si>
    <t>Snipe Mountain</t>
  </si>
  <si>
    <t>108°35'19.7"W</t>
  </si>
  <si>
    <t>38°30'19.3"N</t>
  </si>
  <si>
    <t>Helmuth
Local usage</t>
  </si>
  <si>
    <t>US-CO-2949</t>
  </si>
  <si>
    <t>US-CO-09659</t>
  </si>
  <si>
    <t xml:space="preserve">Bassam Park Pass </t>
  </si>
  <si>
    <t>Chaffie Park</t>
  </si>
  <si>
    <t>Castle Rock Gulch</t>
  </si>
  <si>
    <t>105°56'17.0"W</t>
  </si>
  <si>
    <t>38°45'19.0"N</t>
  </si>
  <si>
    <t>US-CO-2963</t>
  </si>
  <si>
    <t>US-CO-09717</t>
  </si>
  <si>
    <t xml:space="preserve">Salt Creek  Pass </t>
  </si>
  <si>
    <t>Chaffee</t>
  </si>
  <si>
    <t>Marmot Peak</t>
  </si>
  <si>
    <t>106°02'38.9"W</t>
  </si>
  <si>
    <t>38°56'30.4"N</t>
  </si>
  <si>
    <t>US-CO-2975</t>
  </si>
  <si>
    <t>US-CO-09754</t>
  </si>
  <si>
    <t>Eagle Rock</t>
  </si>
  <si>
    <t>105°44'45.2"W</t>
  </si>
  <si>
    <t>39°14'19.4"N</t>
  </si>
  <si>
    <t>US-CO-2985</t>
  </si>
  <si>
    <t>US-CO-09810</t>
  </si>
  <si>
    <t>107°08'34.4"W</t>
  </si>
  <si>
    <t>40°09'20.2"N</t>
  </si>
  <si>
    <t>Name on map is very far from the Pass</t>
  </si>
  <si>
    <t>US-CO-3091</t>
  </si>
  <si>
    <t>US-CO-10148</t>
  </si>
  <si>
    <t xml:space="preserve">Lone Pine Pass </t>
  </si>
  <si>
    <t>Mount Guero</t>
  </si>
  <si>
    <t>107°24'20.0"W</t>
  </si>
  <si>
    <t>38°43'27.0"N</t>
  </si>
  <si>
    <t>West Elk Wilderness</t>
  </si>
  <si>
    <t>US-CO-3130</t>
  </si>
  <si>
    <t>US-CO-10269</t>
  </si>
  <si>
    <t xml:space="preserve">Independence Pass </t>
  </si>
  <si>
    <t>Big Bull Mountain</t>
  </si>
  <si>
    <t>105°06'42.0"W</t>
  </si>
  <si>
    <t>38°43'31.0"N</t>
  </si>
  <si>
    <t>US-CO-3140</t>
  </si>
  <si>
    <t>US-CO-10300</t>
  </si>
  <si>
    <t xml:space="preserve">Silver Pass </t>
  </si>
  <si>
    <t>Mineral</t>
  </si>
  <si>
    <t>Lemon Rese</t>
  </si>
  <si>
    <t>107°43'38.8"W</t>
  </si>
  <si>
    <t>37°27'19.9"N</t>
  </si>
  <si>
    <t>US-CO-3173</t>
  </si>
  <si>
    <t>US-CO-10400</t>
  </si>
  <si>
    <t xml:space="preserve">Michigan Hill </t>
  </si>
  <si>
    <t>Central City</t>
  </si>
  <si>
    <t>105°33'45.7"W</t>
  </si>
  <si>
    <t>39°50'51.7"N</t>
  </si>
  <si>
    <t>US-CO-3180</t>
  </si>
  <si>
    <t>US-CO-10423</t>
  </si>
  <si>
    <t xml:space="preserve">Scotch Creek Pass </t>
  </si>
  <si>
    <t>Dolores</t>
  </si>
  <si>
    <t>Hermosa Creek</t>
  </si>
  <si>
    <t>107°58'04.7"W</t>
  </si>
  <si>
    <t>37°38'25.5"N</t>
  </si>
  <si>
    <t>US-CO-3207</t>
  </si>
  <si>
    <t>US-CO-10501</t>
  </si>
  <si>
    <t xml:space="preserve">Cabin Creek Divide </t>
  </si>
  <si>
    <t>Grand</t>
  </si>
  <si>
    <t>Corral Peaks</t>
  </si>
  <si>
    <t>106°08'23.5"W</t>
  </si>
  <si>
    <t>40°11'29.0"N</t>
  </si>
  <si>
    <t>Helmuth
Not named on maps</t>
  </si>
  <si>
    <t>US-CO-3250</t>
  </si>
  <si>
    <t>US-CO-10654</t>
  </si>
  <si>
    <t xml:space="preserve">Last Dollar Pass </t>
  </si>
  <si>
    <t>San Miguel</t>
  </si>
  <si>
    <t>Sams</t>
  </si>
  <si>
    <t>107°57'05.6"W</t>
  </si>
  <si>
    <t>38°00'17.8"N</t>
  </si>
  <si>
    <t>Helmuth</t>
  </si>
  <si>
    <t>US-CO-3252</t>
  </si>
  <si>
    <t>US-CO-10667</t>
  </si>
  <si>
    <t xml:space="preserve">Echo Lake Summit </t>
  </si>
  <si>
    <t>Clear Creek</t>
  </si>
  <si>
    <t>Idaho Springs</t>
  </si>
  <si>
    <t>SR 103 (Squaw Pass Rd)(SR) - SR 5</t>
  </si>
  <si>
    <t>105°35'47.0"W</t>
  </si>
  <si>
    <t>39°39'24.0"N</t>
  </si>
  <si>
    <t>US-CO-3254</t>
  </si>
  <si>
    <t>US-CO-10656</t>
  </si>
  <si>
    <t xml:space="preserve">Salthouse Pass </t>
  </si>
  <si>
    <t>South Pass</t>
  </si>
  <si>
    <t>Saguache</t>
  </si>
  <si>
    <t>Saguache Park</t>
  </si>
  <si>
    <t>106°42'17.0"W</t>
  </si>
  <si>
    <t>38°04'50.0"N</t>
  </si>
  <si>
    <t>Helmuth
Named from Salt House at summit according to Sprague</t>
  </si>
  <si>
    <t>US-CO-3256</t>
  </si>
  <si>
    <t>US-CO-10689</t>
  </si>
  <si>
    <t xml:space="preserve">Big Horn Pass </t>
  </si>
  <si>
    <t>105°37'03.9"W</t>
  </si>
  <si>
    <t>40°26'11.8"N</t>
  </si>
  <si>
    <t>Helmuth
Early listing of Colorado places</t>
  </si>
  <si>
    <t>US-CO-3267</t>
  </si>
  <si>
    <t>US-CO-10718</t>
  </si>
  <si>
    <t xml:space="preserve">Meridian Pass </t>
  </si>
  <si>
    <t>Harris Park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</si>
</sst>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0"/>
    <numFmt numFmtId="165" formatCode="0.00000"/>
  </numFmts>
  <fonts count="8"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9">
    <xf numFmtId="0" fontId="0" fillId="0" borderId="0" applyNumberFormat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Alignment="0" applyProtection="0"/>
    <xf numFmtId="0" fontId="3" fillId="0" borderId="0" applyNumberFormat="0" applyAlignment="0" applyProtection="0"/>
    <xf numFmtId="0" fontId="4" fillId="2" borderId="1" applyNumberFormat="0" applyProtection="0">
      <alignment horizontal="center" vertical="center" wrapText="1"/>
    </xf>
    <xf numFmtId="0" fontId="4" fillId="3" borderId="1" applyNumberFormat="0" applyProtection="0">
      <alignment horizontal="center" vertical="center" wrapText="1"/>
    </xf>
  </cellStyleXfs>
  <cellXfs count="18">
    <xf numFmtId="0" fontId="0" fillId="0" borderId="0" xfId="0" applyAlignment="1">
      <alignment vertical="center"/>
    </xf>
    <xf numFmtId="0" fontId="4" fillId="3" borderId="1" xfId="18" applyNumberFormat="1" applyAlignment="1" applyProtection="1">
      <alignment horizontal="center" vertical="center" wrapText="1"/>
      <protection locked="0"/>
    </xf>
    <xf numFmtId="0" fontId="4" fillId="2" borderId="1" xfId="17" applyNumberFormat="1" applyProtection="1">
      <alignment horizontal="center" vertical="center" wrapText="1"/>
      <protection locked="0"/>
    </xf>
    <xf numFmtId="0" fontId="4" fillId="3" borderId="1" xfId="18" applyNumberForma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5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1" xfId="18" applyNumberFormat="1" applyFont="1" applyProtection="1">
      <alignment horizontal="center" vertical="center" wrapText="1"/>
      <protection locked="0"/>
    </xf>
  </cellXfs>
  <cellStyles count="5">
    <cellStyle name="Normal" xfId="0"/>
    <cellStyle name="Hyperlink" xfId="15"/>
    <cellStyle name="Followed Hyperlink" xfId="16"/>
    <cellStyle name="Titre spécial" xfId="17"/>
    <cellStyle name="Titre standard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-US-off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"/>
      <sheetName val="US"/>
      <sheetName val="Non-reconnus"/>
      <sheetName val="Copyrigh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16015625" defaultRowHeight="11.25"/>
  <cols>
    <col min="1" max="1" width="12.83203125" style="5" bestFit="1" customWidth="1"/>
    <col min="2" max="2" width="13.83203125" style="11" bestFit="1" customWidth="1"/>
    <col min="3" max="3" width="25" style="9" bestFit="1" customWidth="1"/>
    <col min="4" max="4" width="25" style="9" customWidth="1"/>
    <col min="5" max="5" width="17.16015625" style="9" bestFit="1" customWidth="1"/>
    <col min="6" max="6" width="5.83203125" style="8" bestFit="1" customWidth="1"/>
    <col min="7" max="7" width="9.83203125" style="8" bestFit="1" customWidth="1"/>
    <col min="8" max="8" width="14.83203125" style="12" bestFit="1" customWidth="1"/>
    <col min="9" max="9" width="11.83203125" style="8" bestFit="1" customWidth="1"/>
    <col min="10" max="10" width="7.33203125" style="5" bestFit="1" customWidth="1"/>
    <col min="11" max="11" width="12.83203125" style="8" bestFit="1" customWidth="1"/>
    <col min="12" max="12" width="22" style="8" bestFit="1" customWidth="1"/>
    <col min="13" max="13" width="32.66015625" style="5" bestFit="1" customWidth="1"/>
    <col min="14" max="14" width="5.66015625" style="13" bestFit="1" customWidth="1"/>
    <col min="15" max="15" width="4.16015625" style="14" bestFit="1" customWidth="1"/>
    <col min="16" max="16" width="7.66015625" style="14" bestFit="1" customWidth="1"/>
    <col min="17" max="17" width="12.83203125" style="13" bestFit="1" customWidth="1"/>
    <col min="18" max="18" width="12.33203125" style="14" bestFit="1" customWidth="1"/>
    <col min="19" max="19" width="14" style="14" bestFit="1" customWidth="1"/>
    <col min="20" max="20" width="12.5" style="15" bestFit="1" customWidth="1"/>
    <col min="21" max="21" width="25.83203125" style="15" customWidth="1"/>
    <col min="22" max="22" width="32.5" style="16" bestFit="1" customWidth="1"/>
    <col min="23" max="23" width="12.83203125" style="16" customWidth="1"/>
    <col min="24" max="24" width="57.16015625" style="8" bestFit="1" customWidth="1"/>
    <col min="25" max="16384" width="8.16015625" style="8" customWidth="1"/>
  </cols>
  <sheetData>
    <row r="1" spans="1:24" s="4" customFormat="1" ht="22.5">
      <c r="A1" s="1" t="s">
        <v>2558</v>
      </c>
      <c r="B1" s="2" t="s">
        <v>2559</v>
      </c>
      <c r="C1" s="3" t="s">
        <v>2560</v>
      </c>
      <c r="D1" s="3" t="s">
        <v>2561</v>
      </c>
      <c r="E1" s="3" t="s">
        <v>2562</v>
      </c>
      <c r="F1" s="3" t="s">
        <v>2563</v>
      </c>
      <c r="G1" s="3" t="s">
        <v>2564</v>
      </c>
      <c r="H1" s="2" t="s">
        <v>2565</v>
      </c>
      <c r="I1" s="17" t="s">
        <v>2581</v>
      </c>
      <c r="J1" s="2" t="s">
        <v>2566</v>
      </c>
      <c r="K1" s="3" t="s">
        <v>2567</v>
      </c>
      <c r="L1" s="2" t="s">
        <v>2568</v>
      </c>
      <c r="M1" s="3" t="s">
        <v>2569</v>
      </c>
      <c r="N1" s="3" t="s">
        <v>2570</v>
      </c>
      <c r="O1" s="3" t="s">
        <v>2571</v>
      </c>
      <c r="P1" s="3" t="s">
        <v>2572</v>
      </c>
      <c r="Q1" s="3" t="s">
        <v>2573</v>
      </c>
      <c r="R1" s="3" t="s">
        <v>2574</v>
      </c>
      <c r="S1" s="3" t="s">
        <v>2575</v>
      </c>
      <c r="T1" s="3" t="s">
        <v>2576</v>
      </c>
      <c r="U1" s="3" t="s">
        <v>2577</v>
      </c>
      <c r="V1" s="3" t="s">
        <v>2578</v>
      </c>
      <c r="W1" s="3" t="s">
        <v>2579</v>
      </c>
      <c r="X1" s="3" t="s">
        <v>2580</v>
      </c>
    </row>
    <row r="2" spans="1:24" ht="11.25">
      <c r="A2" s="5" t="s">
        <v>2956</v>
      </c>
      <c r="B2" s="5" t="s">
        <v>2957</v>
      </c>
      <c r="C2" s="6" t="s">
        <v>2958</v>
      </c>
      <c r="D2" s="6"/>
      <c r="E2" s="6"/>
      <c r="F2" s="5" t="s">
        <v>2959</v>
      </c>
      <c r="G2" s="5"/>
      <c r="H2" s="6" t="s">
        <v>2960</v>
      </c>
      <c r="I2" s="5">
        <v>379</v>
      </c>
      <c r="J2" s="5">
        <v>1243</v>
      </c>
      <c r="K2" s="7" t="str">
        <f>HYPERLINK("http://www.centcols.org/util/geo/visuGen.php?code=US-AK-0379a","US-AK-0379a")</f>
        <v>US-AK-0379a</v>
      </c>
      <c r="L2" s="8" t="s">
        <v>2961</v>
      </c>
      <c r="M2" s="8" t="s">
        <v>2962</v>
      </c>
      <c r="N2" s="8">
        <v>20</v>
      </c>
      <c r="O2" s="8">
        <v>99</v>
      </c>
      <c r="P2" s="8"/>
      <c r="Q2" s="5">
        <v>-153.8789925</v>
      </c>
      <c r="R2" s="5">
        <v>67.0416407</v>
      </c>
      <c r="S2" s="5" t="s">
        <v>2963</v>
      </c>
      <c r="T2" s="5" t="s">
        <v>2964</v>
      </c>
      <c r="U2" s="8" t="s">
        <v>2965</v>
      </c>
      <c r="V2" s="8"/>
      <c r="W2" s="8" t="s">
        <v>2966</v>
      </c>
      <c r="X2" s="8" t="s">
        <v>2967</v>
      </c>
    </row>
    <row r="3" spans="1:24" ht="11.25">
      <c r="A3" s="5" t="s">
        <v>2968</v>
      </c>
      <c r="B3" s="5" t="s">
        <v>2969</v>
      </c>
      <c r="C3" s="6" t="s">
        <v>2970</v>
      </c>
      <c r="D3" s="6"/>
      <c r="E3" s="6"/>
      <c r="F3" s="5" t="s">
        <v>2959</v>
      </c>
      <c r="G3" s="5"/>
      <c r="H3" s="6" t="s">
        <v>2971</v>
      </c>
      <c r="I3" s="5">
        <v>408</v>
      </c>
      <c r="J3" s="5">
        <v>1339</v>
      </c>
      <c r="K3" s="7" t="str">
        <f>HYPERLINK("http://www.centcols.org/util/geo/visuGen.php?code=US-AK-0408","US-AK-0408")</f>
        <v>US-AK-0408</v>
      </c>
      <c r="L3" s="8" t="s">
        <v>2972</v>
      </c>
      <c r="M3" s="8" t="s">
        <v>2962</v>
      </c>
      <c r="N3" s="8">
        <v>20</v>
      </c>
      <c r="O3" s="8">
        <v>99</v>
      </c>
      <c r="P3" s="8"/>
      <c r="Q3" s="5">
        <v>-158.0686102</v>
      </c>
      <c r="R3" s="5">
        <v>56.9055567</v>
      </c>
      <c r="S3" s="5" t="s">
        <v>2973</v>
      </c>
      <c r="T3" s="5" t="s">
        <v>2974</v>
      </c>
      <c r="U3" s="8"/>
      <c r="V3" s="8"/>
      <c r="W3" s="8" t="s">
        <v>2966</v>
      </c>
      <c r="X3" s="8" t="s">
        <v>2975</v>
      </c>
    </row>
    <row r="4" spans="1:24" ht="11.25">
      <c r="A4" s="5" t="s">
        <v>2976</v>
      </c>
      <c r="B4" s="5" t="s">
        <v>2977</v>
      </c>
      <c r="C4" s="6" t="s">
        <v>2978</v>
      </c>
      <c r="D4" s="6"/>
      <c r="E4" s="6"/>
      <c r="F4" s="5" t="s">
        <v>2959</v>
      </c>
      <c r="G4" s="5"/>
      <c r="H4" s="6" t="s">
        <v>2979</v>
      </c>
      <c r="I4" s="5">
        <v>686</v>
      </c>
      <c r="J4" s="5">
        <v>2251</v>
      </c>
      <c r="K4" s="7" t="str">
        <f>HYPERLINK("http://www.centcols.org/util/geo/visuGen.php?code=US-AK-0686","US-AK-0686")</f>
        <v>US-AK-0686</v>
      </c>
      <c r="L4" s="8" t="s">
        <v>2980</v>
      </c>
      <c r="M4" s="8" t="s">
        <v>2962</v>
      </c>
      <c r="N4" s="8">
        <v>20</v>
      </c>
      <c r="O4" s="8">
        <v>99</v>
      </c>
      <c r="P4" s="8"/>
      <c r="Q4" s="5">
        <v>-152.6794696</v>
      </c>
      <c r="R4" s="5">
        <v>62.2348408</v>
      </c>
      <c r="S4" s="5" t="s">
        <v>2981</v>
      </c>
      <c r="T4" s="5" t="s">
        <v>2982</v>
      </c>
      <c r="U4" s="8"/>
      <c r="V4" s="8"/>
      <c r="W4" s="8" t="s">
        <v>2966</v>
      </c>
      <c r="X4" s="8" t="s">
        <v>2967</v>
      </c>
    </row>
    <row r="5" spans="1:24" ht="11.25">
      <c r="A5" s="5" t="s">
        <v>2983</v>
      </c>
      <c r="B5" s="5" t="s">
        <v>2984</v>
      </c>
      <c r="C5" s="6" t="s">
        <v>2985</v>
      </c>
      <c r="D5" s="6"/>
      <c r="E5" s="6"/>
      <c r="F5" s="5" t="s">
        <v>2986</v>
      </c>
      <c r="G5" s="5"/>
      <c r="H5" s="6" t="s">
        <v>2985</v>
      </c>
      <c r="I5" s="5">
        <v>150</v>
      </c>
      <c r="J5" s="5">
        <v>492</v>
      </c>
      <c r="K5" s="7" t="str">
        <f>HYPERLINK("http://www.centcols.org/util/geo/visuGen.php?code=US-AL-0150","US-AL-0150")</f>
        <v>US-AL-0150</v>
      </c>
      <c r="L5" s="8" t="s">
        <v>2987</v>
      </c>
      <c r="M5" s="8" t="s">
        <v>2988</v>
      </c>
      <c r="N5" s="8">
        <v>10</v>
      </c>
      <c r="O5" s="8">
        <v>35</v>
      </c>
      <c r="P5" s="8"/>
      <c r="Q5" s="5">
        <v>-86.5347212</v>
      </c>
      <c r="R5" s="5">
        <v>33.3983336</v>
      </c>
      <c r="S5" s="5" t="s">
        <v>2989</v>
      </c>
      <c r="T5" s="5" t="s">
        <v>2990</v>
      </c>
      <c r="U5" s="8"/>
      <c r="V5" s="8"/>
      <c r="W5" s="8" t="s">
        <v>2966</v>
      </c>
      <c r="X5" s="8" t="s">
        <v>2991</v>
      </c>
    </row>
    <row r="6" spans="1:24" ht="11.25">
      <c r="A6" s="5" t="s">
        <v>2992</v>
      </c>
      <c r="B6" s="5" t="s">
        <v>2993</v>
      </c>
      <c r="C6" s="6" t="s">
        <v>2994</v>
      </c>
      <c r="D6" s="6"/>
      <c r="E6" s="6"/>
      <c r="F6" s="5" t="s">
        <v>2986</v>
      </c>
      <c r="G6" s="5"/>
      <c r="H6" s="6" t="s">
        <v>2995</v>
      </c>
      <c r="I6" s="5">
        <v>155</v>
      </c>
      <c r="J6" s="5">
        <v>509</v>
      </c>
      <c r="K6" s="7" t="str">
        <f>HYPERLINK("http://www.centcols.org/util/geo/visuGen.php?code=US-AL-0155","US-AL-0155")</f>
        <v>US-AL-0155</v>
      </c>
      <c r="L6" s="8" t="s">
        <v>2996</v>
      </c>
      <c r="M6" s="8" t="s">
        <v>2962</v>
      </c>
      <c r="N6" s="8">
        <v>20</v>
      </c>
      <c r="O6" s="8">
        <v>99</v>
      </c>
      <c r="P6" s="8"/>
      <c r="Q6" s="5">
        <v>-86.791668</v>
      </c>
      <c r="R6" s="5">
        <v>33.5855823</v>
      </c>
      <c r="S6" s="5" t="s">
        <v>2997</v>
      </c>
      <c r="T6" s="5" t="s">
        <v>2998</v>
      </c>
      <c r="U6" s="8"/>
      <c r="V6" s="8"/>
      <c r="W6" s="8" t="s">
        <v>2966</v>
      </c>
      <c r="X6" s="8" t="s">
        <v>2999</v>
      </c>
    </row>
    <row r="7" spans="1:24" ht="11.25">
      <c r="A7" s="5" t="s">
        <v>3000</v>
      </c>
      <c r="B7" s="5" t="s">
        <v>3001</v>
      </c>
      <c r="C7" s="6" t="s">
        <v>3002</v>
      </c>
      <c r="D7" s="6"/>
      <c r="E7" s="6"/>
      <c r="F7" s="5" t="s">
        <v>2986</v>
      </c>
      <c r="G7" s="5"/>
      <c r="H7" s="6" t="s">
        <v>2995</v>
      </c>
      <c r="I7" s="5">
        <v>163</v>
      </c>
      <c r="J7" s="5">
        <v>535</v>
      </c>
      <c r="K7" s="7" t="str">
        <f>HYPERLINK("http://www.centcols.org/util/geo/visuGen.php?code=US-AL-0163","US-AL-0163")</f>
        <v>US-AL-0163</v>
      </c>
      <c r="L7" s="8" t="s">
        <v>3003</v>
      </c>
      <c r="M7" s="8" t="s">
        <v>2962</v>
      </c>
      <c r="N7" s="8">
        <v>20</v>
      </c>
      <c r="O7" s="8">
        <v>99</v>
      </c>
      <c r="P7" s="8"/>
      <c r="Q7" s="5">
        <v>-86.8698133</v>
      </c>
      <c r="R7" s="5">
        <v>33.3371525</v>
      </c>
      <c r="S7" s="5" t="s">
        <v>3004</v>
      </c>
      <c r="T7" s="5" t="s">
        <v>3005</v>
      </c>
      <c r="U7" s="8"/>
      <c r="V7" s="8"/>
      <c r="W7" s="8" t="s">
        <v>2966</v>
      </c>
      <c r="X7" s="8" t="s">
        <v>2991</v>
      </c>
    </row>
    <row r="8" spans="1:24" ht="11.25">
      <c r="A8" s="5" t="s">
        <v>3006</v>
      </c>
      <c r="B8" s="5" t="s">
        <v>3007</v>
      </c>
      <c r="C8" s="6" t="s">
        <v>3002</v>
      </c>
      <c r="D8" s="6"/>
      <c r="E8" s="6" t="s">
        <v>3008</v>
      </c>
      <c r="F8" s="5" t="s">
        <v>2986</v>
      </c>
      <c r="G8" s="5"/>
      <c r="H8" s="6" t="s">
        <v>2995</v>
      </c>
      <c r="I8" s="5">
        <v>166</v>
      </c>
      <c r="J8" s="5">
        <v>545</v>
      </c>
      <c r="K8" s="7" t="str">
        <f>HYPERLINK("http://www.centcols.org/util/geo/visuGen.php?code=US-AL-0166","US-AL-0166")</f>
        <v>US-AL-0166</v>
      </c>
      <c r="L8" s="8" t="s">
        <v>3003</v>
      </c>
      <c r="M8" s="8" t="s">
        <v>2962</v>
      </c>
      <c r="N8" s="8">
        <v>20</v>
      </c>
      <c r="O8" s="8">
        <v>99</v>
      </c>
      <c r="P8" s="8"/>
      <c r="Q8" s="5">
        <v>-86.870833</v>
      </c>
      <c r="R8" s="5">
        <v>33.336667</v>
      </c>
      <c r="S8" s="5" t="s">
        <v>3009</v>
      </c>
      <c r="T8" s="5" t="s">
        <v>3010</v>
      </c>
      <c r="U8" s="8"/>
      <c r="V8" s="8"/>
      <c r="W8" s="8" t="s">
        <v>2966</v>
      </c>
      <c r="X8" s="8" t="s">
        <v>3011</v>
      </c>
    </row>
    <row r="9" spans="1:24" ht="11.25">
      <c r="A9" s="5" t="s">
        <v>3006</v>
      </c>
      <c r="B9" s="5" t="s">
        <v>3012</v>
      </c>
      <c r="C9" s="6" t="s">
        <v>3013</v>
      </c>
      <c r="D9" s="6"/>
      <c r="E9" s="6"/>
      <c r="F9" s="5" t="s">
        <v>2986</v>
      </c>
      <c r="G9" s="5"/>
      <c r="H9" s="6" t="s">
        <v>2995</v>
      </c>
      <c r="I9" s="5">
        <v>166</v>
      </c>
      <c r="J9" s="5">
        <v>545</v>
      </c>
      <c r="K9" s="7" t="str">
        <f>HYPERLINK("http://www.centcols.org/util/geo/visuGen.php?code=US-AL-0166","US-AL-0166")</f>
        <v>US-AL-0166</v>
      </c>
      <c r="L9" s="8" t="s">
        <v>3014</v>
      </c>
      <c r="M9" s="9" t="s">
        <v>3015</v>
      </c>
      <c r="N9" s="8">
        <v>0</v>
      </c>
      <c r="O9" s="8">
        <v>0</v>
      </c>
      <c r="P9" s="8"/>
      <c r="Q9" s="5">
        <v>-86.9851659</v>
      </c>
      <c r="R9" s="5">
        <v>33.3295344</v>
      </c>
      <c r="S9" s="5" t="s">
        <v>3016</v>
      </c>
      <c r="T9" s="5" t="s">
        <v>3017</v>
      </c>
      <c r="U9" s="8"/>
      <c r="V9" s="8"/>
      <c r="W9" s="8" t="s">
        <v>2966</v>
      </c>
      <c r="X9" s="8" t="s">
        <v>3018</v>
      </c>
    </row>
    <row r="10" spans="1:24" ht="11.25">
      <c r="A10" s="5" t="s">
        <v>3019</v>
      </c>
      <c r="B10" s="5" t="s">
        <v>3020</v>
      </c>
      <c r="C10" s="6" t="s">
        <v>3021</v>
      </c>
      <c r="D10" s="6"/>
      <c r="E10" s="6"/>
      <c r="F10" s="5" t="s">
        <v>2986</v>
      </c>
      <c r="G10" s="5"/>
      <c r="H10" s="6" t="s">
        <v>3022</v>
      </c>
      <c r="I10" s="5">
        <v>175</v>
      </c>
      <c r="J10" s="5">
        <v>574</v>
      </c>
      <c r="K10" s="7" t="str">
        <f>HYPERLINK("http://www.centcols.org/util/geo/visuGen.php?code=US-AL-0175","US-AL-0175")</f>
        <v>US-AL-0175</v>
      </c>
      <c r="L10" s="8" t="s">
        <v>2987</v>
      </c>
      <c r="M10" s="8" t="s">
        <v>3023</v>
      </c>
      <c r="N10" s="8">
        <v>20</v>
      </c>
      <c r="O10" s="8">
        <v>99</v>
      </c>
      <c r="P10" s="8"/>
      <c r="Q10" s="5">
        <v>-86.562412</v>
      </c>
      <c r="R10" s="5">
        <v>33.3893192</v>
      </c>
      <c r="S10" s="5" t="s">
        <v>3024</v>
      </c>
      <c r="T10" s="5" t="s">
        <v>3025</v>
      </c>
      <c r="U10" s="8"/>
      <c r="V10" s="8"/>
      <c r="W10" s="8" t="s">
        <v>2966</v>
      </c>
      <c r="X10" s="8" t="s">
        <v>2991</v>
      </c>
    </row>
    <row r="11" spans="1:24" ht="11.25">
      <c r="A11" s="5" t="s">
        <v>3026</v>
      </c>
      <c r="B11" s="5" t="s">
        <v>3027</v>
      </c>
      <c r="C11" s="6" t="s">
        <v>3028</v>
      </c>
      <c r="D11" s="6"/>
      <c r="E11" s="6"/>
      <c r="F11" s="5" t="s">
        <v>2986</v>
      </c>
      <c r="G11" s="5"/>
      <c r="H11" s="6" t="s">
        <v>3029</v>
      </c>
      <c r="I11" s="5">
        <v>176</v>
      </c>
      <c r="J11" s="5">
        <v>577</v>
      </c>
      <c r="K11" s="7" t="str">
        <f>HYPERLINK("http://www.centcols.org/util/geo/visuGen.php?code=US-AL-0176","US-AL-0176")</f>
        <v>US-AL-0176</v>
      </c>
      <c r="L11" s="8" t="s">
        <v>3030</v>
      </c>
      <c r="M11" s="9" t="s">
        <v>3031</v>
      </c>
      <c r="N11" s="8">
        <v>0</v>
      </c>
      <c r="O11" s="8">
        <v>0</v>
      </c>
      <c r="P11" s="8"/>
      <c r="Q11" s="5">
        <v>-85.9030793</v>
      </c>
      <c r="R11" s="5">
        <v>34.0967409</v>
      </c>
      <c r="S11" s="5" t="s">
        <v>3032</v>
      </c>
      <c r="T11" s="5" t="s">
        <v>3033</v>
      </c>
      <c r="U11" s="8"/>
      <c r="V11" s="8"/>
      <c r="W11" s="8" t="s">
        <v>2966</v>
      </c>
      <c r="X11" s="8" t="s">
        <v>2991</v>
      </c>
    </row>
    <row r="12" spans="1:24" ht="11.25">
      <c r="A12" s="5" t="s">
        <v>3034</v>
      </c>
      <c r="B12" s="5" t="s">
        <v>3035</v>
      </c>
      <c r="C12" s="6" t="s">
        <v>3036</v>
      </c>
      <c r="D12" s="6"/>
      <c r="E12" s="6"/>
      <c r="F12" s="5" t="s">
        <v>2986</v>
      </c>
      <c r="G12" s="5"/>
      <c r="H12" s="6" t="s">
        <v>3037</v>
      </c>
      <c r="I12" s="5">
        <v>179</v>
      </c>
      <c r="J12" s="5">
        <v>587</v>
      </c>
      <c r="K12" s="7" t="str">
        <f>HYPERLINK("http://www.centcols.org/util/geo/visuGen.php?code=US-AL-0179","US-AL-0179")</f>
        <v>US-AL-0179</v>
      </c>
      <c r="L12" s="8" t="s">
        <v>3038</v>
      </c>
      <c r="M12" s="8" t="s">
        <v>3039</v>
      </c>
      <c r="N12" s="8">
        <v>0</v>
      </c>
      <c r="O12" s="8">
        <v>0</v>
      </c>
      <c r="P12" s="8"/>
      <c r="Q12" s="5">
        <v>-86.1302768</v>
      </c>
      <c r="R12" s="5">
        <v>33.7838895</v>
      </c>
      <c r="S12" s="5" t="s">
        <v>3040</v>
      </c>
      <c r="T12" s="5" t="s">
        <v>3041</v>
      </c>
      <c r="U12" s="8"/>
      <c r="V12" s="8"/>
      <c r="W12" s="8" t="s">
        <v>2966</v>
      </c>
      <c r="X12" s="8" t="s">
        <v>2991</v>
      </c>
    </row>
    <row r="13" spans="1:24" ht="11.25">
      <c r="A13" s="5" t="s">
        <v>3042</v>
      </c>
      <c r="B13" s="5" t="s">
        <v>3043</v>
      </c>
      <c r="C13" s="6" t="s">
        <v>3044</v>
      </c>
      <c r="D13" s="6"/>
      <c r="E13" s="6"/>
      <c r="F13" s="5" t="s">
        <v>2986</v>
      </c>
      <c r="G13" s="5"/>
      <c r="H13" s="6" t="s">
        <v>3045</v>
      </c>
      <c r="I13" s="5">
        <v>184</v>
      </c>
      <c r="J13" s="5">
        <v>604</v>
      </c>
      <c r="K13" s="7" t="str">
        <f>HYPERLINK("http://www.centcols.org/util/geo/visuGen.php?code=US-AL-0184a","US-AL-0184a")</f>
        <v>US-AL-0184a</v>
      </c>
      <c r="L13" s="8" t="s">
        <v>3046</v>
      </c>
      <c r="M13" s="8" t="s">
        <v>3047</v>
      </c>
      <c r="N13" s="8">
        <v>0</v>
      </c>
      <c r="O13" s="8">
        <v>0</v>
      </c>
      <c r="P13" s="8"/>
      <c r="Q13" s="5">
        <v>-87.1208322</v>
      </c>
      <c r="R13" s="5">
        <v>33.2777793</v>
      </c>
      <c r="S13" s="5" t="s">
        <v>3048</v>
      </c>
      <c r="T13" s="5" t="s">
        <v>3049</v>
      </c>
      <c r="U13" s="8"/>
      <c r="V13" s="8"/>
      <c r="W13" s="8" t="s">
        <v>2966</v>
      </c>
      <c r="X13" s="8" t="s">
        <v>3018</v>
      </c>
    </row>
    <row r="14" spans="1:24" ht="11.25">
      <c r="A14" s="5" t="s">
        <v>3050</v>
      </c>
      <c r="B14" s="5" t="s">
        <v>3051</v>
      </c>
      <c r="C14" s="6" t="s">
        <v>3052</v>
      </c>
      <c r="D14" s="6"/>
      <c r="E14" s="6"/>
      <c r="F14" s="5" t="s">
        <v>2986</v>
      </c>
      <c r="G14" s="5"/>
      <c r="H14" s="6" t="s">
        <v>3053</v>
      </c>
      <c r="I14" s="5">
        <v>190</v>
      </c>
      <c r="J14" s="5">
        <v>623</v>
      </c>
      <c r="K14" s="7" t="str">
        <f>HYPERLINK("http://www.centcols.org/util/geo/visuGen.php?code=US-AL-0190","US-AL-0190")</f>
        <v>US-AL-0190</v>
      </c>
      <c r="L14" s="8" t="s">
        <v>3054</v>
      </c>
      <c r="M14" s="8"/>
      <c r="N14" s="8">
        <v>0</v>
      </c>
      <c r="O14" s="8">
        <v>0</v>
      </c>
      <c r="P14" s="8"/>
      <c r="Q14" s="5">
        <v>-87.588889</v>
      </c>
      <c r="R14" s="5">
        <v>34.624167</v>
      </c>
      <c r="S14" s="5" t="s">
        <v>3055</v>
      </c>
      <c r="T14" s="5" t="s">
        <v>3056</v>
      </c>
      <c r="U14" s="8"/>
      <c r="V14" s="8"/>
      <c r="W14" s="8" t="s">
        <v>2966</v>
      </c>
      <c r="X14" s="8" t="s">
        <v>3011</v>
      </c>
    </row>
    <row r="15" spans="1:24" ht="11.25">
      <c r="A15" s="5" t="s">
        <v>3057</v>
      </c>
      <c r="B15" s="5" t="s">
        <v>3058</v>
      </c>
      <c r="C15" s="6" t="s">
        <v>3059</v>
      </c>
      <c r="D15" s="6"/>
      <c r="E15" s="6"/>
      <c r="F15" s="5" t="s">
        <v>2986</v>
      </c>
      <c r="G15" s="5"/>
      <c r="H15" s="6" t="s">
        <v>3060</v>
      </c>
      <c r="I15" s="5">
        <v>195</v>
      </c>
      <c r="J15" s="5">
        <v>640</v>
      </c>
      <c r="K15" s="7" t="str">
        <f>HYPERLINK("http://www.centcols.org/util/geo/visuGen.php?code=US-AL-0195","US-AL-0195")</f>
        <v>US-AL-0195</v>
      </c>
      <c r="L15" s="8" t="s">
        <v>3061</v>
      </c>
      <c r="M15" s="9" t="s">
        <v>3062</v>
      </c>
      <c r="N15" s="8">
        <v>0</v>
      </c>
      <c r="O15" s="8">
        <v>0</v>
      </c>
      <c r="P15" s="8"/>
      <c r="Q15" s="5">
        <v>-86.5761592</v>
      </c>
      <c r="R15" s="5">
        <v>33.8782208</v>
      </c>
      <c r="S15" s="5" t="s">
        <v>3063</v>
      </c>
      <c r="T15" s="5" t="s">
        <v>3064</v>
      </c>
      <c r="U15" s="8"/>
      <c r="V15" s="8"/>
      <c r="W15" s="8" t="s">
        <v>2966</v>
      </c>
      <c r="X15" s="8" t="s">
        <v>2991</v>
      </c>
    </row>
    <row r="16" spans="1:24" ht="11.25">
      <c r="A16" s="5" t="s">
        <v>3065</v>
      </c>
      <c r="B16" s="5" t="s">
        <v>3066</v>
      </c>
      <c r="C16" s="6" t="s">
        <v>3067</v>
      </c>
      <c r="D16" s="6"/>
      <c r="E16" s="6"/>
      <c r="F16" s="5" t="s">
        <v>2986</v>
      </c>
      <c r="G16" s="5"/>
      <c r="H16" s="6" t="s">
        <v>2995</v>
      </c>
      <c r="I16" s="5">
        <v>195</v>
      </c>
      <c r="J16" s="5">
        <v>640</v>
      </c>
      <c r="K16" s="7" t="str">
        <f>HYPERLINK("http://www.centcols.org/util/geo/visuGen.php?code=US-AL-0195a","US-AL-0195a")</f>
        <v>US-AL-0195a</v>
      </c>
      <c r="L16" s="8" t="s">
        <v>3068</v>
      </c>
      <c r="M16" s="8" t="s">
        <v>2988</v>
      </c>
      <c r="N16" s="8">
        <v>10</v>
      </c>
      <c r="O16" s="8">
        <v>35</v>
      </c>
      <c r="P16" s="8"/>
      <c r="Q16" s="5">
        <v>-86.7383322</v>
      </c>
      <c r="R16" s="5">
        <v>33.657501</v>
      </c>
      <c r="S16" s="5" t="s">
        <v>3069</v>
      </c>
      <c r="T16" s="5" t="s">
        <v>3070</v>
      </c>
      <c r="U16" s="8"/>
      <c r="V16" s="8"/>
      <c r="W16" s="8" t="s">
        <v>2966</v>
      </c>
      <c r="X16" s="8" t="s">
        <v>2991</v>
      </c>
    </row>
    <row r="17" spans="1:24" ht="11.25">
      <c r="A17" s="5" t="s">
        <v>3071</v>
      </c>
      <c r="B17" s="5" t="s">
        <v>3072</v>
      </c>
      <c r="C17" s="6" t="s">
        <v>3073</v>
      </c>
      <c r="D17" s="6"/>
      <c r="E17" s="6"/>
      <c r="F17" s="5" t="s">
        <v>2986</v>
      </c>
      <c r="G17" s="5"/>
      <c r="H17" s="6" t="s">
        <v>3060</v>
      </c>
      <c r="I17" s="5">
        <v>216</v>
      </c>
      <c r="J17" s="5">
        <v>709</v>
      </c>
      <c r="K17" s="7" t="str">
        <f>HYPERLINK("http://www.centcols.org/util/geo/visuGen.php?code=US-AL-0216","US-AL-0216")</f>
        <v>US-AL-0216</v>
      </c>
      <c r="L17" s="8" t="s">
        <v>3074</v>
      </c>
      <c r="M17" s="8" t="s">
        <v>2988</v>
      </c>
      <c r="N17" s="8">
        <v>10</v>
      </c>
      <c r="O17" s="8">
        <v>35</v>
      </c>
      <c r="P17" s="8"/>
      <c r="Q17" s="5">
        <v>-86.5368058</v>
      </c>
      <c r="R17" s="5">
        <v>33.8645823</v>
      </c>
      <c r="S17" s="5" t="s">
        <v>3075</v>
      </c>
      <c r="T17" s="5" t="s">
        <v>3076</v>
      </c>
      <c r="U17" s="8"/>
      <c r="V17" s="8"/>
      <c r="W17" s="8" t="s">
        <v>2966</v>
      </c>
      <c r="X17" s="8" t="s">
        <v>2991</v>
      </c>
    </row>
    <row r="18" spans="1:24" ht="11.25">
      <c r="A18" s="5" t="s">
        <v>3077</v>
      </c>
      <c r="B18" s="5" t="s">
        <v>3078</v>
      </c>
      <c r="C18" s="6" t="s">
        <v>3079</v>
      </c>
      <c r="D18" s="6"/>
      <c r="E18" s="6"/>
      <c r="F18" s="5" t="s">
        <v>2986</v>
      </c>
      <c r="G18" s="5"/>
      <c r="H18" s="6" t="s">
        <v>3080</v>
      </c>
      <c r="I18" s="5">
        <v>223</v>
      </c>
      <c r="J18" s="5">
        <v>732</v>
      </c>
      <c r="K18" s="7" t="str">
        <f>HYPERLINK("http://www.centcols.org/util/geo/visuGen.php?code=US-AL-0223","US-AL-0223")</f>
        <v>US-AL-0223</v>
      </c>
      <c r="L18" s="8" t="s">
        <v>3081</v>
      </c>
      <c r="M18" s="9" t="s">
        <v>3082</v>
      </c>
      <c r="N18" s="8">
        <v>0</v>
      </c>
      <c r="O18" s="8">
        <v>0</v>
      </c>
      <c r="P18" s="8"/>
      <c r="Q18" s="5">
        <v>-87.329159</v>
      </c>
      <c r="R18" s="5">
        <v>34.1295909</v>
      </c>
      <c r="S18" s="5" t="s">
        <v>3083</v>
      </c>
      <c r="T18" s="5" t="s">
        <v>3084</v>
      </c>
      <c r="U18" s="8"/>
      <c r="V18" s="8"/>
      <c r="W18" s="8" t="s">
        <v>2966</v>
      </c>
      <c r="X18" s="8" t="s">
        <v>3085</v>
      </c>
    </row>
    <row r="19" spans="1:24" ht="11.25">
      <c r="A19" s="5" t="s">
        <v>3086</v>
      </c>
      <c r="B19" s="5" t="s">
        <v>3087</v>
      </c>
      <c r="C19" s="6" t="s">
        <v>3088</v>
      </c>
      <c r="D19" s="6"/>
      <c r="E19" s="6" t="s">
        <v>3089</v>
      </c>
      <c r="F19" s="5" t="s">
        <v>2986</v>
      </c>
      <c r="G19" s="5"/>
      <c r="H19" s="6" t="s">
        <v>3060</v>
      </c>
      <c r="I19" s="5">
        <v>224</v>
      </c>
      <c r="J19" s="5">
        <v>735</v>
      </c>
      <c r="K19" s="7" t="str">
        <f>HYPERLINK("http://www.centcols.org/util/geo/visuGen.php?code=US-AL-0224a","US-AL-0224a")</f>
        <v>US-AL-0224a</v>
      </c>
      <c r="L19" s="8" t="s">
        <v>3074</v>
      </c>
      <c r="M19" s="9" t="s">
        <v>3090</v>
      </c>
      <c r="N19" s="8">
        <v>0</v>
      </c>
      <c r="O19" s="8">
        <v>0</v>
      </c>
      <c r="P19" s="8"/>
      <c r="Q19" s="5">
        <v>-86.5206194</v>
      </c>
      <c r="R19" s="5">
        <v>33.8742709</v>
      </c>
      <c r="S19" s="5" t="s">
        <v>3091</v>
      </c>
      <c r="T19" s="5" t="s">
        <v>3092</v>
      </c>
      <c r="U19" s="8"/>
      <c r="V19" s="8"/>
      <c r="W19" s="8" t="s">
        <v>2966</v>
      </c>
      <c r="X19" s="8" t="s">
        <v>2991</v>
      </c>
    </row>
    <row r="20" spans="1:24" ht="11.25">
      <c r="A20" s="5" t="s">
        <v>3093</v>
      </c>
      <c r="B20" s="5" t="s">
        <v>3094</v>
      </c>
      <c r="C20" s="6" t="s">
        <v>3095</v>
      </c>
      <c r="D20" s="6"/>
      <c r="E20" s="6"/>
      <c r="F20" s="5" t="s">
        <v>2986</v>
      </c>
      <c r="G20" s="5"/>
      <c r="H20" s="6" t="s">
        <v>3096</v>
      </c>
      <c r="I20" s="5">
        <v>225</v>
      </c>
      <c r="J20" s="5">
        <v>738</v>
      </c>
      <c r="K20" s="7" t="str">
        <f>HYPERLINK("http://www.centcols.org/util/geo/visuGen.php?code=US-AL-0225","US-AL-0225")</f>
        <v>US-AL-0225</v>
      </c>
      <c r="L20" s="8" t="s">
        <v>3097</v>
      </c>
      <c r="M20" s="8" t="s">
        <v>3098</v>
      </c>
      <c r="N20" s="8">
        <v>0</v>
      </c>
      <c r="O20" s="8">
        <v>0</v>
      </c>
      <c r="P20" s="8"/>
      <c r="Q20" s="5">
        <v>-85.8241425</v>
      </c>
      <c r="R20" s="5">
        <v>34.3303504</v>
      </c>
      <c r="S20" s="5" t="s">
        <v>3099</v>
      </c>
      <c r="T20" s="5" t="s">
        <v>3100</v>
      </c>
      <c r="U20" s="8"/>
      <c r="V20" s="8"/>
      <c r="W20" s="8" t="s">
        <v>2966</v>
      </c>
      <c r="X20" s="8" t="s">
        <v>2991</v>
      </c>
    </row>
    <row r="21" spans="1:24" ht="11.25">
      <c r="A21" s="5" t="s">
        <v>3101</v>
      </c>
      <c r="B21" s="5" t="s">
        <v>3102</v>
      </c>
      <c r="C21" s="6" t="s">
        <v>3103</v>
      </c>
      <c r="D21" s="6"/>
      <c r="E21" s="6"/>
      <c r="F21" s="5" t="s">
        <v>2986</v>
      </c>
      <c r="G21" s="5"/>
      <c r="H21" s="6" t="s">
        <v>3029</v>
      </c>
      <c r="I21" s="5">
        <v>225</v>
      </c>
      <c r="J21" s="5">
        <v>738</v>
      </c>
      <c r="K21" s="7" t="str">
        <f>HYPERLINK("http://www.centcols.org/util/geo/visuGen.php?code=US-AL-0225a","US-AL-0225a")</f>
        <v>US-AL-0225a</v>
      </c>
      <c r="L21" s="8" t="s">
        <v>3104</v>
      </c>
      <c r="M21" s="9" t="s">
        <v>3105</v>
      </c>
      <c r="N21" s="8">
        <v>0</v>
      </c>
      <c r="O21" s="8">
        <v>0</v>
      </c>
      <c r="P21" s="8"/>
      <c r="Q21" s="5">
        <v>-85.9254888</v>
      </c>
      <c r="R21" s="5">
        <v>33.9131708</v>
      </c>
      <c r="S21" s="5" t="s">
        <v>3106</v>
      </c>
      <c r="T21" s="5" t="s">
        <v>3107</v>
      </c>
      <c r="U21" s="8"/>
      <c r="V21" s="8"/>
      <c r="W21" s="8" t="s">
        <v>2966</v>
      </c>
      <c r="X21" s="8" t="s">
        <v>3085</v>
      </c>
    </row>
    <row r="22" spans="1:24" ht="11.25">
      <c r="A22" s="5" t="s">
        <v>3108</v>
      </c>
      <c r="B22" s="5" t="s">
        <v>3109</v>
      </c>
      <c r="C22" s="6" t="s">
        <v>3110</v>
      </c>
      <c r="D22" s="6"/>
      <c r="E22" s="6" t="s">
        <v>3111</v>
      </c>
      <c r="F22" s="5" t="s">
        <v>2986</v>
      </c>
      <c r="G22" s="5"/>
      <c r="H22" s="6" t="s">
        <v>3080</v>
      </c>
      <c r="I22" s="5">
        <v>234</v>
      </c>
      <c r="J22" s="5">
        <v>768</v>
      </c>
      <c r="K22" s="7" t="str">
        <f>HYPERLINK("http://www.centcols.org/util/geo/visuGen.php?code=US-AL-0234","US-AL-0234")</f>
        <v>US-AL-0234</v>
      </c>
      <c r="L22" s="8" t="s">
        <v>3112</v>
      </c>
      <c r="M22" s="8" t="s">
        <v>3113</v>
      </c>
      <c r="N22" s="8">
        <v>10</v>
      </c>
      <c r="O22" s="8">
        <v>35</v>
      </c>
      <c r="P22" s="8"/>
      <c r="Q22" s="5">
        <v>-87.3164289</v>
      </c>
      <c r="R22" s="5">
        <v>34.083091</v>
      </c>
      <c r="S22" s="5" t="s">
        <v>3114</v>
      </c>
      <c r="T22" s="5" t="s">
        <v>3115</v>
      </c>
      <c r="U22" s="8"/>
      <c r="V22" s="8"/>
      <c r="W22" s="8" t="s">
        <v>2966</v>
      </c>
      <c r="X22" s="8" t="s">
        <v>3116</v>
      </c>
    </row>
    <row r="23" spans="1:24" ht="11.25">
      <c r="A23" s="5" t="s">
        <v>3117</v>
      </c>
      <c r="B23" s="5" t="s">
        <v>3118</v>
      </c>
      <c r="C23" s="6" t="s">
        <v>3119</v>
      </c>
      <c r="D23" s="6"/>
      <c r="E23" s="6"/>
      <c r="F23" s="5" t="s">
        <v>2986</v>
      </c>
      <c r="G23" s="5"/>
      <c r="H23" s="6" t="s">
        <v>3120</v>
      </c>
      <c r="I23" s="5">
        <v>235</v>
      </c>
      <c r="J23" s="5">
        <v>771</v>
      </c>
      <c r="K23" s="7" t="str">
        <f>HYPERLINK("http://www.centcols.org/util/geo/visuGen.php?code=US-AL-0235a","US-AL-0235a")</f>
        <v>US-AL-0235a</v>
      </c>
      <c r="L23" s="8" t="s">
        <v>3121</v>
      </c>
      <c r="M23" s="9" t="s">
        <v>3122</v>
      </c>
      <c r="N23" s="8">
        <v>0</v>
      </c>
      <c r="O23" s="8">
        <v>0</v>
      </c>
      <c r="P23" s="8"/>
      <c r="Q23" s="5">
        <v>-86.2009592</v>
      </c>
      <c r="R23" s="5">
        <v>33.1086206</v>
      </c>
      <c r="S23" s="5" t="s">
        <v>3123</v>
      </c>
      <c r="T23" s="5" t="s">
        <v>3124</v>
      </c>
      <c r="U23" s="8"/>
      <c r="V23" s="8"/>
      <c r="W23" s="8" t="s">
        <v>2966</v>
      </c>
      <c r="X23" s="8" t="s">
        <v>3125</v>
      </c>
    </row>
    <row r="24" spans="1:24" ht="11.25">
      <c r="A24" s="5" t="s">
        <v>3126</v>
      </c>
      <c r="B24" s="5" t="s">
        <v>3127</v>
      </c>
      <c r="C24" s="6" t="s">
        <v>3128</v>
      </c>
      <c r="D24" s="6"/>
      <c r="E24" s="6"/>
      <c r="F24" s="5" t="s">
        <v>2986</v>
      </c>
      <c r="G24" s="5"/>
      <c r="H24" s="6" t="s">
        <v>3037</v>
      </c>
      <c r="I24" s="5">
        <v>241</v>
      </c>
      <c r="J24" s="5">
        <v>791</v>
      </c>
      <c r="K24" s="7" t="str">
        <f>HYPERLINK("http://www.centcols.org/util/geo/visuGen.php?code=US-AL-0241a","US-AL-0241a")</f>
        <v>US-AL-0241a</v>
      </c>
      <c r="L24" s="8" t="s">
        <v>3129</v>
      </c>
      <c r="M24" s="8" t="s">
        <v>2962</v>
      </c>
      <c r="N24" s="8">
        <v>20</v>
      </c>
      <c r="O24" s="8">
        <v>99</v>
      </c>
      <c r="P24" s="8"/>
      <c r="Q24" s="5">
        <v>-86.3790592</v>
      </c>
      <c r="R24" s="5">
        <v>33.6755204</v>
      </c>
      <c r="S24" s="5" t="s">
        <v>3130</v>
      </c>
      <c r="T24" s="5" t="s">
        <v>3131</v>
      </c>
      <c r="U24" s="8"/>
      <c r="V24" s="8"/>
      <c r="W24" s="8" t="s">
        <v>2966</v>
      </c>
      <c r="X24" s="8" t="s">
        <v>2991</v>
      </c>
    </row>
    <row r="25" spans="1:24" ht="11.25">
      <c r="A25" s="5" t="s">
        <v>3132</v>
      </c>
      <c r="B25" s="5" t="s">
        <v>3133</v>
      </c>
      <c r="C25" s="6" t="s">
        <v>3134</v>
      </c>
      <c r="D25" s="6"/>
      <c r="E25" s="6"/>
      <c r="F25" s="5" t="s">
        <v>2986</v>
      </c>
      <c r="G25" s="5"/>
      <c r="H25" s="6" t="s">
        <v>2995</v>
      </c>
      <c r="I25" s="5">
        <v>249</v>
      </c>
      <c r="J25" s="5">
        <v>817</v>
      </c>
      <c r="K25" s="7" t="str">
        <f>HYPERLINK("http://www.centcols.org/util/geo/visuGen.php?code=US-AL-0249","US-AL-0249")</f>
        <v>US-AL-0249</v>
      </c>
      <c r="L25" s="8" t="s">
        <v>3135</v>
      </c>
      <c r="M25" s="9" t="s">
        <v>3136</v>
      </c>
      <c r="N25" s="8">
        <v>0</v>
      </c>
      <c r="O25" s="8">
        <v>0</v>
      </c>
      <c r="P25" s="8"/>
      <c r="Q25" s="5">
        <v>-86.7594389</v>
      </c>
      <c r="R25" s="5">
        <v>33.4694411</v>
      </c>
      <c r="S25" s="5" t="s">
        <v>3137</v>
      </c>
      <c r="T25" s="5" t="s">
        <v>3138</v>
      </c>
      <c r="U25" s="8"/>
      <c r="V25" s="8"/>
      <c r="W25" s="8" t="s">
        <v>2966</v>
      </c>
      <c r="X25" s="8" t="s">
        <v>3139</v>
      </c>
    </row>
    <row r="26" spans="1:24" ht="11.25">
      <c r="A26" s="5" t="s">
        <v>3140</v>
      </c>
      <c r="B26" s="5" t="s">
        <v>3141</v>
      </c>
      <c r="C26" s="6" t="s">
        <v>3134</v>
      </c>
      <c r="D26" s="6"/>
      <c r="E26" s="6"/>
      <c r="F26" s="5" t="s">
        <v>2986</v>
      </c>
      <c r="G26" s="5"/>
      <c r="H26" s="6" t="s">
        <v>3060</v>
      </c>
      <c r="I26" s="5">
        <v>262</v>
      </c>
      <c r="J26" s="5">
        <v>860</v>
      </c>
      <c r="K26" s="7" t="str">
        <f>HYPERLINK("http://www.centcols.org/util/geo/visuGen.php?code=US-AL-0262a","US-AL-0262a")</f>
        <v>US-AL-0262a</v>
      </c>
      <c r="L26" s="8" t="s">
        <v>3142</v>
      </c>
      <c r="M26" s="8" t="s">
        <v>3143</v>
      </c>
      <c r="N26" s="8">
        <v>0</v>
      </c>
      <c r="O26" s="8">
        <v>0</v>
      </c>
      <c r="P26" s="8"/>
      <c r="Q26" s="5">
        <v>-86.4822212</v>
      </c>
      <c r="R26" s="5">
        <v>33.9022226</v>
      </c>
      <c r="S26" s="5" t="s">
        <v>3144</v>
      </c>
      <c r="T26" s="5" t="s">
        <v>3145</v>
      </c>
      <c r="U26" s="8"/>
      <c r="V26" s="8"/>
      <c r="W26" s="8" t="s">
        <v>2966</v>
      </c>
      <c r="X26" s="8" t="s">
        <v>2991</v>
      </c>
    </row>
    <row r="27" spans="1:24" ht="11.25">
      <c r="A27" s="5" t="s">
        <v>3146</v>
      </c>
      <c r="B27" s="5" t="s">
        <v>3147</v>
      </c>
      <c r="C27" s="6" t="s">
        <v>3148</v>
      </c>
      <c r="D27" s="6"/>
      <c r="E27" s="6"/>
      <c r="F27" s="5" t="s">
        <v>2986</v>
      </c>
      <c r="G27" s="5"/>
      <c r="H27" s="6" t="s">
        <v>3029</v>
      </c>
      <c r="I27" s="5">
        <v>268</v>
      </c>
      <c r="J27" s="5">
        <v>879</v>
      </c>
      <c r="K27" s="7" t="str">
        <f>HYPERLINK("http://www.centcols.org/util/geo/visuGen.php?code=US-AL-0268","US-AL-0268")</f>
        <v>US-AL-0268</v>
      </c>
      <c r="L27" s="8" t="s">
        <v>3149</v>
      </c>
      <c r="M27" s="8" t="s">
        <v>3150</v>
      </c>
      <c r="N27" s="8">
        <v>0</v>
      </c>
      <c r="O27" s="8">
        <v>0</v>
      </c>
      <c r="P27" s="8"/>
      <c r="Q27" s="5">
        <v>-86.1914458</v>
      </c>
      <c r="R27" s="5">
        <v>34.1058187</v>
      </c>
      <c r="S27" s="5" t="s">
        <v>3151</v>
      </c>
      <c r="T27" s="5" t="s">
        <v>3152</v>
      </c>
      <c r="U27" s="8"/>
      <c r="V27" s="8"/>
      <c r="W27" s="8" t="s">
        <v>2966</v>
      </c>
      <c r="X27" s="8" t="s">
        <v>2991</v>
      </c>
    </row>
    <row r="28" spans="1:24" ht="11.25">
      <c r="A28" s="5" t="s">
        <v>3153</v>
      </c>
      <c r="B28" s="5" t="s">
        <v>3154</v>
      </c>
      <c r="C28" s="6" t="s">
        <v>3155</v>
      </c>
      <c r="D28" s="6"/>
      <c r="E28" s="6"/>
      <c r="F28" s="5" t="s">
        <v>2986</v>
      </c>
      <c r="G28" s="5"/>
      <c r="H28" s="6" t="s">
        <v>3060</v>
      </c>
      <c r="I28" s="5">
        <v>270</v>
      </c>
      <c r="J28" s="5">
        <v>886</v>
      </c>
      <c r="K28" s="7" t="str">
        <f>HYPERLINK("http://www.centcols.org/util/geo/visuGen.php?code=US-AL-0270","US-AL-0270")</f>
        <v>US-AL-0270</v>
      </c>
      <c r="L28" s="8" t="s">
        <v>3156</v>
      </c>
      <c r="M28" s="8" t="s">
        <v>2962</v>
      </c>
      <c r="N28" s="8">
        <v>20</v>
      </c>
      <c r="O28" s="8">
        <v>99</v>
      </c>
      <c r="P28" s="8"/>
      <c r="Q28" s="5">
        <v>-86.3527773</v>
      </c>
      <c r="R28" s="5">
        <v>34.0061117</v>
      </c>
      <c r="S28" s="5" t="s">
        <v>3157</v>
      </c>
      <c r="T28" s="5" t="s">
        <v>3158</v>
      </c>
      <c r="U28" s="8"/>
      <c r="V28" s="8"/>
      <c r="W28" s="8" t="s">
        <v>2966</v>
      </c>
      <c r="X28" s="8" t="s">
        <v>2991</v>
      </c>
    </row>
    <row r="29" spans="1:24" ht="11.25">
      <c r="A29" s="5" t="s">
        <v>3159</v>
      </c>
      <c r="B29" s="5" t="s">
        <v>3160</v>
      </c>
      <c r="C29" s="6" t="s">
        <v>3161</v>
      </c>
      <c r="D29" s="6"/>
      <c r="E29" s="6"/>
      <c r="F29" s="5" t="s">
        <v>2986</v>
      </c>
      <c r="G29" s="5"/>
      <c r="H29" s="6" t="s">
        <v>3096</v>
      </c>
      <c r="I29" s="5">
        <v>273</v>
      </c>
      <c r="J29" s="5">
        <v>896</v>
      </c>
      <c r="K29" s="7" t="str">
        <f>HYPERLINK("http://www.centcols.org/util/geo/visuGen.php?code=US-AL-0273","US-AL-0273")</f>
        <v>US-AL-0273</v>
      </c>
      <c r="L29" s="8" t="s">
        <v>3097</v>
      </c>
      <c r="M29" s="9" t="s">
        <v>3162</v>
      </c>
      <c r="N29" s="8">
        <v>0</v>
      </c>
      <c r="O29" s="8">
        <v>0</v>
      </c>
      <c r="P29" s="8"/>
      <c r="Q29" s="5">
        <v>-85.8667494</v>
      </c>
      <c r="R29" s="5">
        <v>34.3560907</v>
      </c>
      <c r="S29" s="5" t="s">
        <v>3163</v>
      </c>
      <c r="T29" s="5" t="s">
        <v>3164</v>
      </c>
      <c r="U29" s="8"/>
      <c r="V29" s="8"/>
      <c r="W29" s="8" t="s">
        <v>2966</v>
      </c>
      <c r="X29" s="8" t="s">
        <v>3125</v>
      </c>
    </row>
    <row r="30" spans="1:24" ht="11.25">
      <c r="A30" s="5" t="s">
        <v>3165</v>
      </c>
      <c r="B30" s="5" t="s">
        <v>3166</v>
      </c>
      <c r="C30" s="6" t="s">
        <v>3134</v>
      </c>
      <c r="D30" s="6"/>
      <c r="E30" s="6"/>
      <c r="F30" s="5" t="s">
        <v>2986</v>
      </c>
      <c r="G30" s="5"/>
      <c r="H30" s="6" t="s">
        <v>3167</v>
      </c>
      <c r="I30" s="5">
        <v>281</v>
      </c>
      <c r="J30" s="5">
        <v>922</v>
      </c>
      <c r="K30" s="7" t="str">
        <f>HYPERLINK("http://www.centcols.org/util/geo/visuGen.php?code=US-AL-0281a","US-AL-0281a")</f>
        <v>US-AL-0281a</v>
      </c>
      <c r="L30" s="8" t="s">
        <v>3168</v>
      </c>
      <c r="M30" s="9" t="s">
        <v>3169</v>
      </c>
      <c r="N30" s="8">
        <v>0</v>
      </c>
      <c r="O30" s="8">
        <v>0</v>
      </c>
      <c r="P30" s="8"/>
      <c r="Q30" s="5">
        <v>-86.1022588</v>
      </c>
      <c r="R30" s="5">
        <v>34.4531709</v>
      </c>
      <c r="S30" s="5" t="s">
        <v>3170</v>
      </c>
      <c r="T30" s="5" t="s">
        <v>3171</v>
      </c>
      <c r="U30" s="8"/>
      <c r="V30" s="8"/>
      <c r="W30" s="8" t="s">
        <v>2966</v>
      </c>
      <c r="X30" s="8" t="s">
        <v>2991</v>
      </c>
    </row>
    <row r="31" spans="1:24" ht="22.5">
      <c r="A31" s="5" t="s">
        <v>3172</v>
      </c>
      <c r="B31" s="5" t="s">
        <v>3173</v>
      </c>
      <c r="C31" s="6" t="s">
        <v>3174</v>
      </c>
      <c r="D31" s="6"/>
      <c r="E31" s="6" t="s">
        <v>3175</v>
      </c>
      <c r="F31" s="5" t="s">
        <v>2986</v>
      </c>
      <c r="G31" s="5"/>
      <c r="H31" s="6" t="s">
        <v>3167</v>
      </c>
      <c r="I31" s="5">
        <v>286</v>
      </c>
      <c r="J31" s="5">
        <v>938</v>
      </c>
      <c r="K31" s="7" t="str">
        <f>HYPERLINK("http://www.centcols.org/util/geo/visuGen.php?code=US-AL-0286","US-AL-0286")</f>
        <v>US-AL-0286</v>
      </c>
      <c r="L31" s="8" t="s">
        <v>3176</v>
      </c>
      <c r="M31" s="9" t="s">
        <v>3177</v>
      </c>
      <c r="N31" s="8">
        <v>0</v>
      </c>
      <c r="O31" s="8">
        <v>0</v>
      </c>
      <c r="P31" s="8"/>
      <c r="Q31" s="5">
        <v>-86.393059</v>
      </c>
      <c r="R31" s="5">
        <v>34.2122206</v>
      </c>
      <c r="S31" s="5" t="s">
        <v>3178</v>
      </c>
      <c r="T31" s="5" t="s">
        <v>3179</v>
      </c>
      <c r="U31" s="8"/>
      <c r="V31" s="8"/>
      <c r="W31" s="8" t="s">
        <v>2966</v>
      </c>
      <c r="X31" s="8" t="s">
        <v>2991</v>
      </c>
    </row>
    <row r="32" spans="1:24" ht="11.25">
      <c r="A32" s="5" t="s">
        <v>3180</v>
      </c>
      <c r="B32" s="5" t="s">
        <v>3181</v>
      </c>
      <c r="C32" s="6" t="s">
        <v>3182</v>
      </c>
      <c r="D32" s="6"/>
      <c r="E32" s="6"/>
      <c r="F32" s="5" t="s">
        <v>2986</v>
      </c>
      <c r="G32" s="5"/>
      <c r="H32" s="6" t="s">
        <v>3096</v>
      </c>
      <c r="I32" s="5">
        <v>292</v>
      </c>
      <c r="J32" s="5">
        <v>958</v>
      </c>
      <c r="K32" s="7" t="str">
        <f>HYPERLINK("http://www.centcols.org/util/geo/visuGen.php?code=US-AL-0292b","US-AL-0292b")</f>
        <v>US-AL-0292b</v>
      </c>
      <c r="L32" s="8" t="s">
        <v>3183</v>
      </c>
      <c r="M32" s="9" t="s">
        <v>3184</v>
      </c>
      <c r="N32" s="8">
        <v>0</v>
      </c>
      <c r="O32" s="8">
        <v>0</v>
      </c>
      <c r="P32" s="8"/>
      <c r="Q32" s="5">
        <v>-85.7822191</v>
      </c>
      <c r="R32" s="5">
        <v>34.4530608</v>
      </c>
      <c r="S32" s="5" t="s">
        <v>3185</v>
      </c>
      <c r="T32" s="5" t="s">
        <v>3186</v>
      </c>
      <c r="U32" s="8"/>
      <c r="V32" s="8"/>
      <c r="W32" s="8" t="s">
        <v>2966</v>
      </c>
      <c r="X32" s="8" t="s">
        <v>2991</v>
      </c>
    </row>
    <row r="33" spans="1:24" ht="11.25">
      <c r="A33" s="5" t="s">
        <v>3187</v>
      </c>
      <c r="B33" s="5" t="s">
        <v>3188</v>
      </c>
      <c r="C33" s="6" t="s">
        <v>3189</v>
      </c>
      <c r="D33" s="6"/>
      <c r="E33" s="6" t="s">
        <v>3190</v>
      </c>
      <c r="F33" s="5" t="s">
        <v>2986</v>
      </c>
      <c r="G33" s="5"/>
      <c r="H33" s="6" t="s">
        <v>3167</v>
      </c>
      <c r="I33" s="5">
        <v>307</v>
      </c>
      <c r="J33" s="5">
        <v>1007</v>
      </c>
      <c r="K33" s="7" t="str">
        <f>HYPERLINK("http://www.centcols.org/util/geo/visuGen.php?code=US-AL-0307a","US-AL-0307a")</f>
        <v>US-AL-0307a</v>
      </c>
      <c r="L33" s="8" t="s">
        <v>3191</v>
      </c>
      <c r="M33" s="9" t="s">
        <v>3192</v>
      </c>
      <c r="N33" s="8">
        <v>0</v>
      </c>
      <c r="O33" s="8">
        <v>0</v>
      </c>
      <c r="P33" s="8"/>
      <c r="Q33" s="5">
        <v>-86.3896991</v>
      </c>
      <c r="R33" s="5">
        <v>34.3609412</v>
      </c>
      <c r="S33" s="5" t="s">
        <v>3193</v>
      </c>
      <c r="T33" s="5" t="s">
        <v>3194</v>
      </c>
      <c r="U33" s="8"/>
      <c r="V33" s="8"/>
      <c r="W33" s="8" t="s">
        <v>2966</v>
      </c>
      <c r="X33" s="8" t="s">
        <v>3085</v>
      </c>
    </row>
    <row r="34" spans="1:24" ht="11.25">
      <c r="A34" s="5" t="s">
        <v>3195</v>
      </c>
      <c r="B34" s="5" t="s">
        <v>3196</v>
      </c>
      <c r="C34" s="6" t="s">
        <v>3197</v>
      </c>
      <c r="D34" s="6"/>
      <c r="E34" s="6"/>
      <c r="F34" s="5" t="s">
        <v>2986</v>
      </c>
      <c r="G34" s="5"/>
      <c r="H34" s="6" t="s">
        <v>3167</v>
      </c>
      <c r="I34" s="5">
        <v>312</v>
      </c>
      <c r="J34" s="5">
        <v>1024</v>
      </c>
      <c r="K34" s="7" t="str">
        <f>HYPERLINK("http://www.centcols.org/util/geo/visuGen.php?code=US-AL-0312a","US-AL-0312a")</f>
        <v>US-AL-0312a</v>
      </c>
      <c r="L34" s="8" t="s">
        <v>3198</v>
      </c>
      <c r="M34" s="9" t="s">
        <v>3199</v>
      </c>
      <c r="N34" s="8">
        <v>0</v>
      </c>
      <c r="O34" s="8">
        <v>0</v>
      </c>
      <c r="P34" s="8"/>
      <c r="Q34" s="5">
        <v>-86.2283592</v>
      </c>
      <c r="R34" s="5">
        <v>34.3408412</v>
      </c>
      <c r="S34" s="5" t="s">
        <v>3200</v>
      </c>
      <c r="T34" s="5" t="s">
        <v>3201</v>
      </c>
      <c r="U34" s="8"/>
      <c r="V34" s="8"/>
      <c r="W34" s="8" t="s">
        <v>2966</v>
      </c>
      <c r="X34" s="8" t="s">
        <v>3202</v>
      </c>
    </row>
    <row r="35" spans="1:24" ht="22.5">
      <c r="A35" s="5" t="s">
        <v>3203</v>
      </c>
      <c r="B35" s="5" t="s">
        <v>3204</v>
      </c>
      <c r="C35" s="6" t="s">
        <v>3205</v>
      </c>
      <c r="D35" s="6"/>
      <c r="E35" s="6"/>
      <c r="F35" s="5" t="s">
        <v>2986</v>
      </c>
      <c r="G35" s="5"/>
      <c r="H35" s="6" t="s">
        <v>3206</v>
      </c>
      <c r="I35" s="5">
        <v>323</v>
      </c>
      <c r="J35" s="5">
        <v>1060</v>
      </c>
      <c r="K35" s="7" t="str">
        <f>HYPERLINK("http://www.centcols.org/util/geo/visuGen.php?code=US-AL-0323","US-AL-0323")</f>
        <v>US-AL-0323</v>
      </c>
      <c r="L35" s="8" t="s">
        <v>3207</v>
      </c>
      <c r="M35" s="9" t="s">
        <v>3208</v>
      </c>
      <c r="N35" s="8">
        <v>0</v>
      </c>
      <c r="O35" s="8">
        <v>0</v>
      </c>
      <c r="P35" s="8"/>
      <c r="Q35" s="5">
        <v>-86.5413894</v>
      </c>
      <c r="R35" s="5">
        <v>34.7588908</v>
      </c>
      <c r="S35" s="5" t="s">
        <v>3209</v>
      </c>
      <c r="T35" s="5" t="s">
        <v>3210</v>
      </c>
      <c r="U35" s="8"/>
      <c r="V35" s="8"/>
      <c r="W35" s="8" t="s">
        <v>2966</v>
      </c>
      <c r="X35" s="8" t="s">
        <v>2967</v>
      </c>
    </row>
    <row r="36" spans="1:24" ht="11.25">
      <c r="A36" s="5" t="s">
        <v>3211</v>
      </c>
      <c r="B36" s="5" t="s">
        <v>3212</v>
      </c>
      <c r="C36" s="6" t="s">
        <v>3213</v>
      </c>
      <c r="D36" s="6"/>
      <c r="E36" s="6"/>
      <c r="F36" s="5" t="s">
        <v>2986</v>
      </c>
      <c r="G36" s="5"/>
      <c r="H36" s="6" t="s">
        <v>2995</v>
      </c>
      <c r="I36" s="5">
        <v>331</v>
      </c>
      <c r="J36" s="5">
        <v>1086</v>
      </c>
      <c r="K36" s="7" t="str">
        <f>HYPERLINK("http://www.centcols.org/util/geo/visuGen.php?code=US-AL-0331","US-AL-0331")</f>
        <v>US-AL-0331</v>
      </c>
      <c r="L36" s="8" t="s">
        <v>3214</v>
      </c>
      <c r="M36" s="9" t="s">
        <v>3215</v>
      </c>
      <c r="N36" s="8">
        <v>0</v>
      </c>
      <c r="O36" s="8">
        <v>0</v>
      </c>
      <c r="P36" s="8"/>
      <c r="Q36" s="5">
        <v>-86.6307592</v>
      </c>
      <c r="R36" s="5">
        <v>33.6444509</v>
      </c>
      <c r="S36" s="5" t="s">
        <v>3216</v>
      </c>
      <c r="T36" s="5" t="s">
        <v>3217</v>
      </c>
      <c r="U36" s="8"/>
      <c r="V36" s="8"/>
      <c r="W36" s="8" t="s">
        <v>2966</v>
      </c>
      <c r="X36" s="8" t="s">
        <v>3085</v>
      </c>
    </row>
    <row r="37" spans="1:24" ht="11.25">
      <c r="A37" s="5" t="s">
        <v>3218</v>
      </c>
      <c r="B37" s="5" t="s">
        <v>3219</v>
      </c>
      <c r="C37" s="6" t="s">
        <v>3220</v>
      </c>
      <c r="D37" s="6"/>
      <c r="E37" s="6"/>
      <c r="F37" s="5" t="s">
        <v>2986</v>
      </c>
      <c r="G37" s="5"/>
      <c r="H37" s="6" t="s">
        <v>3206</v>
      </c>
      <c r="I37" s="5">
        <v>377</v>
      </c>
      <c r="J37" s="5">
        <v>1237</v>
      </c>
      <c r="K37" s="7" t="str">
        <f>HYPERLINK("http://www.centcols.org/util/geo/visuGen.php?code=US-AL-0377","US-AL-0377")</f>
        <v>US-AL-0377</v>
      </c>
      <c r="L37" s="8" t="s">
        <v>3221</v>
      </c>
      <c r="M37" s="8" t="s">
        <v>3222</v>
      </c>
      <c r="N37" s="8">
        <v>15</v>
      </c>
      <c r="O37" s="8">
        <v>99</v>
      </c>
      <c r="P37" s="8"/>
      <c r="Q37" s="5">
        <v>-86.3047193</v>
      </c>
      <c r="R37" s="5">
        <v>34.9397211</v>
      </c>
      <c r="S37" s="5" t="s">
        <v>3223</v>
      </c>
      <c r="T37" s="5" t="s">
        <v>3224</v>
      </c>
      <c r="U37" s="8"/>
      <c r="V37" s="8"/>
      <c r="W37" s="8" t="s">
        <v>2966</v>
      </c>
      <c r="X37" s="8" t="s">
        <v>2967</v>
      </c>
    </row>
    <row r="38" spans="1:24" ht="11.25">
      <c r="A38" s="5" t="s">
        <v>3225</v>
      </c>
      <c r="B38" s="5" t="s">
        <v>3226</v>
      </c>
      <c r="C38" s="6" t="s">
        <v>3227</v>
      </c>
      <c r="D38" s="6"/>
      <c r="E38" s="6"/>
      <c r="F38" s="5" t="s">
        <v>2986</v>
      </c>
      <c r="G38" s="5"/>
      <c r="H38" s="6" t="s">
        <v>3228</v>
      </c>
      <c r="I38" s="5">
        <v>384</v>
      </c>
      <c r="J38" s="5">
        <v>1260</v>
      </c>
      <c r="K38" s="7" t="str">
        <f>HYPERLINK("http://www.centcols.org/util/geo/visuGen.php?code=US-AL-0384","US-AL-0384")</f>
        <v>US-AL-0384</v>
      </c>
      <c r="L38" s="8" t="s">
        <v>3229</v>
      </c>
      <c r="M38" s="9" t="s">
        <v>3230</v>
      </c>
      <c r="N38" s="8">
        <v>0</v>
      </c>
      <c r="O38" s="8">
        <v>0</v>
      </c>
      <c r="P38" s="8"/>
      <c r="Q38" s="5">
        <v>-86.1444392</v>
      </c>
      <c r="R38" s="5">
        <v>34.5677108</v>
      </c>
      <c r="S38" s="5" t="s">
        <v>3231</v>
      </c>
      <c r="T38" s="5" t="s">
        <v>3232</v>
      </c>
      <c r="U38" s="8"/>
      <c r="V38" s="8"/>
      <c r="W38" s="8" t="s">
        <v>2966</v>
      </c>
      <c r="X38" s="8" t="s">
        <v>3202</v>
      </c>
    </row>
    <row r="39" spans="1:24" ht="11.25">
      <c r="A39" s="5" t="s">
        <v>3233</v>
      </c>
      <c r="B39" s="5" t="s">
        <v>3234</v>
      </c>
      <c r="C39" s="6" t="s">
        <v>3235</v>
      </c>
      <c r="D39" s="6"/>
      <c r="E39" s="6"/>
      <c r="F39" s="5" t="s">
        <v>2986</v>
      </c>
      <c r="G39" s="5"/>
      <c r="H39" s="6" t="s">
        <v>3236</v>
      </c>
      <c r="I39" s="5">
        <v>385</v>
      </c>
      <c r="J39" s="5">
        <v>1263</v>
      </c>
      <c r="K39" s="7" t="str">
        <f>HYPERLINK("http://www.centcols.org/util/geo/visuGen.php?code=US-AL-0385","US-AL-0385")</f>
        <v>US-AL-0385</v>
      </c>
      <c r="L39" s="8" t="s">
        <v>3237</v>
      </c>
      <c r="M39" s="9" t="s">
        <v>3238</v>
      </c>
      <c r="N39" s="8">
        <v>0</v>
      </c>
      <c r="O39" s="8">
        <v>0</v>
      </c>
      <c r="P39" s="8"/>
      <c r="Q39" s="5">
        <v>-85.814299</v>
      </c>
      <c r="R39" s="5">
        <v>34.4379311</v>
      </c>
      <c r="S39" s="5" t="s">
        <v>3239</v>
      </c>
      <c r="T39" s="5" t="s">
        <v>3240</v>
      </c>
      <c r="U39" s="8"/>
      <c r="V39" s="8"/>
      <c r="W39" s="8" t="s">
        <v>2966</v>
      </c>
      <c r="X39" s="8" t="s">
        <v>3085</v>
      </c>
    </row>
    <row r="40" spans="1:24" ht="22.5">
      <c r="A40" s="5" t="s">
        <v>3241</v>
      </c>
      <c r="B40" s="5" t="s">
        <v>3242</v>
      </c>
      <c r="C40" s="6" t="s">
        <v>3243</v>
      </c>
      <c r="D40" s="6"/>
      <c r="E40" s="6"/>
      <c r="F40" s="5" t="s">
        <v>2986</v>
      </c>
      <c r="G40" s="5"/>
      <c r="H40" s="6" t="s">
        <v>3228</v>
      </c>
      <c r="I40" s="5">
        <v>396</v>
      </c>
      <c r="J40" s="5">
        <v>1299</v>
      </c>
      <c r="K40" s="7" t="str">
        <f>HYPERLINK("http://www.centcols.org/util/geo/visuGen.php?code=US-AL-0396","US-AL-0396")</f>
        <v>US-AL-0396</v>
      </c>
      <c r="L40" s="8" t="s">
        <v>3244</v>
      </c>
      <c r="M40" s="9" t="s">
        <v>3245</v>
      </c>
      <c r="N40" s="8">
        <v>0</v>
      </c>
      <c r="O40" s="8">
        <v>0</v>
      </c>
      <c r="P40" s="8"/>
      <c r="Q40" s="5">
        <v>-85.998209</v>
      </c>
      <c r="R40" s="5">
        <v>34.5921105</v>
      </c>
      <c r="S40" s="5" t="s">
        <v>3246</v>
      </c>
      <c r="T40" s="5" t="s">
        <v>3247</v>
      </c>
      <c r="U40" s="8"/>
      <c r="V40" s="8"/>
      <c r="W40" s="8" t="s">
        <v>2966</v>
      </c>
      <c r="X40" s="8" t="s">
        <v>3248</v>
      </c>
    </row>
    <row r="41" spans="1:24" ht="11.25">
      <c r="A41" s="5" t="s">
        <v>3249</v>
      </c>
      <c r="B41" s="5" t="s">
        <v>3250</v>
      </c>
      <c r="C41" s="6" t="s">
        <v>3103</v>
      </c>
      <c r="D41" s="6"/>
      <c r="E41" s="6"/>
      <c r="F41" s="5" t="s">
        <v>2986</v>
      </c>
      <c r="G41" s="5"/>
      <c r="H41" s="6" t="s">
        <v>3251</v>
      </c>
      <c r="I41" s="5">
        <v>427</v>
      </c>
      <c r="J41" s="5">
        <v>1401</v>
      </c>
      <c r="K41" s="7" t="str">
        <f>HYPERLINK("http://www.centcols.org/util/geo/visuGen.php?code=US-AL-0427","US-AL-0427")</f>
        <v>US-AL-0427</v>
      </c>
      <c r="L41" s="8" t="s">
        <v>3104</v>
      </c>
      <c r="M41" s="9" t="s">
        <v>3252</v>
      </c>
      <c r="N41" s="8">
        <v>0</v>
      </c>
      <c r="O41" s="8">
        <v>0</v>
      </c>
      <c r="P41" s="8"/>
      <c r="Q41" s="5">
        <v>-86.3798294</v>
      </c>
      <c r="R41" s="5">
        <v>33.8600306</v>
      </c>
      <c r="S41" s="5" t="s">
        <v>3253</v>
      </c>
      <c r="T41" s="5" t="s">
        <v>3254</v>
      </c>
      <c r="U41" s="8"/>
      <c r="V41" s="8"/>
      <c r="W41" s="8" t="s">
        <v>2966</v>
      </c>
      <c r="X41" s="8" t="s">
        <v>3202</v>
      </c>
    </row>
    <row r="42" spans="1:24" ht="22.5">
      <c r="A42" s="5" t="s">
        <v>3255</v>
      </c>
      <c r="B42" s="5" t="s">
        <v>3256</v>
      </c>
      <c r="C42" s="6" t="s">
        <v>3257</v>
      </c>
      <c r="D42" s="6"/>
      <c r="E42" s="6"/>
      <c r="F42" s="5" t="s">
        <v>2986</v>
      </c>
      <c r="G42" s="5"/>
      <c r="H42" s="6" t="s">
        <v>3096</v>
      </c>
      <c r="I42" s="5">
        <v>433</v>
      </c>
      <c r="J42" s="5">
        <v>1421</v>
      </c>
      <c r="K42" s="7" t="str">
        <f>HYPERLINK("http://www.centcols.org/util/geo/visuGen.php?code=US-AL-0433","US-AL-0433")</f>
        <v>US-AL-0433</v>
      </c>
      <c r="L42" s="8" t="s">
        <v>3258</v>
      </c>
      <c r="M42" s="9" t="s">
        <v>3259</v>
      </c>
      <c r="N42" s="8">
        <v>0</v>
      </c>
      <c r="O42" s="8">
        <v>0</v>
      </c>
      <c r="P42" s="8"/>
      <c r="Q42" s="5">
        <v>-85.6604291</v>
      </c>
      <c r="R42" s="5">
        <v>34.5927308</v>
      </c>
      <c r="S42" s="5" t="s">
        <v>3260</v>
      </c>
      <c r="T42" s="5" t="s">
        <v>3261</v>
      </c>
      <c r="U42" s="8"/>
      <c r="V42" s="8"/>
      <c r="W42" s="8" t="s">
        <v>2966</v>
      </c>
      <c r="X42" s="8" t="s">
        <v>3202</v>
      </c>
    </row>
    <row r="43" spans="1:24" ht="11.25">
      <c r="A43" s="5" t="s">
        <v>3262</v>
      </c>
      <c r="B43" s="5" t="s">
        <v>3263</v>
      </c>
      <c r="C43" s="6" t="s">
        <v>3264</v>
      </c>
      <c r="D43" s="6"/>
      <c r="E43" s="6"/>
      <c r="F43" s="5" t="s">
        <v>2986</v>
      </c>
      <c r="G43" s="5"/>
      <c r="H43" s="6" t="s">
        <v>3096</v>
      </c>
      <c r="I43" s="5">
        <v>499</v>
      </c>
      <c r="J43" s="5">
        <v>1637</v>
      </c>
      <c r="K43" s="7" t="str">
        <f>HYPERLINK("http://www.centcols.org/util/geo/visuGen.php?code=US-AL-0499","US-AL-0499")</f>
        <v>US-AL-0499</v>
      </c>
      <c r="L43" s="8" t="s">
        <v>3265</v>
      </c>
      <c r="M43" s="9" t="s">
        <v>3266</v>
      </c>
      <c r="N43" s="8">
        <v>0</v>
      </c>
      <c r="O43" s="8">
        <v>0</v>
      </c>
      <c r="P43" s="8"/>
      <c r="Q43" s="5">
        <v>-85.5958292</v>
      </c>
      <c r="R43" s="5">
        <v>34.7636108</v>
      </c>
      <c r="S43" s="5" t="s">
        <v>3267</v>
      </c>
      <c r="T43" s="5" t="s">
        <v>3268</v>
      </c>
      <c r="U43" s="8"/>
      <c r="V43" s="8"/>
      <c r="W43" s="8" t="s">
        <v>2966</v>
      </c>
      <c r="X43" s="8" t="s">
        <v>3202</v>
      </c>
    </row>
    <row r="44" spans="1:24" ht="11.25">
      <c r="A44" s="5" t="s">
        <v>3269</v>
      </c>
      <c r="B44" s="5" t="s">
        <v>3270</v>
      </c>
      <c r="C44" s="6" t="s">
        <v>3271</v>
      </c>
      <c r="D44" s="6"/>
      <c r="E44" s="6"/>
      <c r="F44" s="5" t="s">
        <v>3272</v>
      </c>
      <c r="G44" s="5"/>
      <c r="H44" s="6" t="s">
        <v>3273</v>
      </c>
      <c r="I44" s="5">
        <v>635</v>
      </c>
      <c r="J44" s="5">
        <v>2083</v>
      </c>
      <c r="K44" s="7" t="str">
        <f>HYPERLINK("http://www.centcols.org/util/geo/visuGen.php?code=US-AZ-0635","US-AZ-0635")</f>
        <v>US-AZ-0635</v>
      </c>
      <c r="L44" s="8" t="s">
        <v>3274</v>
      </c>
      <c r="M44" s="8" t="s">
        <v>2988</v>
      </c>
      <c r="N44" s="8">
        <v>10</v>
      </c>
      <c r="O44" s="8">
        <v>35</v>
      </c>
      <c r="P44" s="8"/>
      <c r="Q44" s="5">
        <v>-111.8266653</v>
      </c>
      <c r="R44" s="5">
        <v>33.6183344</v>
      </c>
      <c r="S44" s="5" t="s">
        <v>3275</v>
      </c>
      <c r="T44" s="5" t="s">
        <v>3276</v>
      </c>
      <c r="U44" s="8"/>
      <c r="V44" s="8"/>
      <c r="W44" s="8" t="s">
        <v>2966</v>
      </c>
      <c r="X44" s="8" t="s">
        <v>3085</v>
      </c>
    </row>
    <row r="45" spans="1:24" ht="11.25">
      <c r="A45" s="5" t="s">
        <v>3277</v>
      </c>
      <c r="B45" s="5" t="s">
        <v>3278</v>
      </c>
      <c r="C45" s="6" t="s">
        <v>3279</v>
      </c>
      <c r="D45" s="6"/>
      <c r="E45" s="6"/>
      <c r="F45" s="5" t="s">
        <v>3272</v>
      </c>
      <c r="G45" s="5"/>
      <c r="H45" s="6" t="s">
        <v>3280</v>
      </c>
      <c r="I45" s="5">
        <v>725</v>
      </c>
      <c r="J45" s="5">
        <v>2379</v>
      </c>
      <c r="K45" s="7" t="str">
        <f>HYPERLINK("http://www.centcols.org/util/geo/visuGen.php?code=US-AZ-0725","US-AZ-0725")</f>
        <v>US-AZ-0725</v>
      </c>
      <c r="L45" s="8" t="s">
        <v>3281</v>
      </c>
      <c r="M45" s="8"/>
      <c r="N45" s="8">
        <v>15</v>
      </c>
      <c r="O45" s="8">
        <v>99</v>
      </c>
      <c r="P45" s="8"/>
      <c r="Q45" s="5">
        <v>-111.10105</v>
      </c>
      <c r="R45" s="5">
        <v>32.22255</v>
      </c>
      <c r="S45" s="5" t="s">
        <v>3282</v>
      </c>
      <c r="T45" s="5" t="s">
        <v>3283</v>
      </c>
      <c r="U45" s="8"/>
      <c r="V45" s="8" t="s">
        <v>3284</v>
      </c>
      <c r="W45" s="8" t="s">
        <v>2966</v>
      </c>
      <c r="X45" s="6" t="s">
        <v>3011</v>
      </c>
    </row>
    <row r="46" spans="1:24" ht="11.25">
      <c r="A46" s="5" t="s">
        <v>3285</v>
      </c>
      <c r="B46" s="5" t="s">
        <v>3286</v>
      </c>
      <c r="C46" s="6" t="s">
        <v>3287</v>
      </c>
      <c r="D46" s="6"/>
      <c r="E46" s="6"/>
      <c r="F46" s="5" t="s">
        <v>3272</v>
      </c>
      <c r="G46" s="5"/>
      <c r="H46" s="6" t="s">
        <v>3288</v>
      </c>
      <c r="I46" s="5">
        <v>805</v>
      </c>
      <c r="J46" s="5">
        <v>2641</v>
      </c>
      <c r="K46" s="7" t="str">
        <f>HYPERLINK("http://www.centcols.org/util/geo/visuGen.php?code=US-AZ-0805","US-AZ-0805")</f>
        <v>US-AZ-0805</v>
      </c>
      <c r="L46" s="8" t="s">
        <v>3289</v>
      </c>
      <c r="M46" s="8" t="s">
        <v>2962</v>
      </c>
      <c r="N46" s="8">
        <v>20</v>
      </c>
      <c r="O46" s="8">
        <v>99</v>
      </c>
      <c r="P46" s="8"/>
      <c r="Q46" s="5">
        <v>-112.420277</v>
      </c>
      <c r="R46" s="5">
        <v>33.975557</v>
      </c>
      <c r="S46" s="5" t="s">
        <v>3290</v>
      </c>
      <c r="T46" s="5" t="s">
        <v>3291</v>
      </c>
      <c r="U46" s="8"/>
      <c r="V46" s="8"/>
      <c r="W46" s="8" t="s">
        <v>2966</v>
      </c>
      <c r="X46" s="8" t="s">
        <v>2991</v>
      </c>
    </row>
    <row r="47" spans="1:24" ht="11.25">
      <c r="A47" s="5" t="s">
        <v>3292</v>
      </c>
      <c r="B47" s="5" t="s">
        <v>3293</v>
      </c>
      <c r="C47" s="6" t="s">
        <v>3294</v>
      </c>
      <c r="D47" s="6"/>
      <c r="E47" s="6"/>
      <c r="F47" s="5" t="s">
        <v>3272</v>
      </c>
      <c r="G47" s="5"/>
      <c r="H47" s="6" t="s">
        <v>3295</v>
      </c>
      <c r="I47" s="5">
        <v>984</v>
      </c>
      <c r="J47" s="5">
        <v>3228</v>
      </c>
      <c r="K47" s="7" t="str">
        <f>HYPERLINK("http://www.centcols.org/util/geo/visuGen.php?code=US-AZ-0984","US-AZ-0984")</f>
        <v>US-AZ-0984</v>
      </c>
      <c r="L47" s="8" t="s">
        <v>3296</v>
      </c>
      <c r="M47" s="9" t="s">
        <v>3297</v>
      </c>
      <c r="N47" s="8">
        <v>0</v>
      </c>
      <c r="O47" s="8">
        <v>0</v>
      </c>
      <c r="P47" s="8"/>
      <c r="Q47" s="5">
        <v>-110.8347993</v>
      </c>
      <c r="R47" s="5">
        <v>33.44998</v>
      </c>
      <c r="S47" s="5" t="s">
        <v>3298</v>
      </c>
      <c r="T47" s="5" t="s">
        <v>3299</v>
      </c>
      <c r="U47" s="8"/>
      <c r="V47" s="8"/>
      <c r="W47" s="8" t="s">
        <v>2966</v>
      </c>
      <c r="X47" s="8" t="s">
        <v>3202</v>
      </c>
    </row>
    <row r="48" spans="1:24" ht="11.25">
      <c r="A48" s="5" t="s">
        <v>3300</v>
      </c>
      <c r="B48" s="5" t="s">
        <v>3301</v>
      </c>
      <c r="C48" s="6" t="s">
        <v>3302</v>
      </c>
      <c r="D48" s="6"/>
      <c r="E48" s="6"/>
      <c r="F48" s="5" t="s">
        <v>3272</v>
      </c>
      <c r="G48" s="5"/>
      <c r="H48" s="6" t="s">
        <v>3295</v>
      </c>
      <c r="I48" s="5">
        <v>1258</v>
      </c>
      <c r="J48" s="5">
        <v>4127</v>
      </c>
      <c r="K48" s="7" t="str">
        <f>HYPERLINK("http://www.centcols.org/util/geo/visuGen.php?code=US-AZ-1258","US-AZ-1258")</f>
        <v>US-AZ-1258</v>
      </c>
      <c r="L48" s="8" t="s">
        <v>3296</v>
      </c>
      <c r="M48" s="8" t="s">
        <v>2988</v>
      </c>
      <c r="N48" s="8">
        <v>10</v>
      </c>
      <c r="O48" s="8">
        <v>35</v>
      </c>
      <c r="P48" s="8"/>
      <c r="Q48" s="5">
        <v>-110.7622191</v>
      </c>
      <c r="R48" s="5">
        <v>33.4300906</v>
      </c>
      <c r="S48" s="5" t="s">
        <v>3303</v>
      </c>
      <c r="T48" s="5" t="s">
        <v>3304</v>
      </c>
      <c r="U48" s="8"/>
      <c r="V48" s="8"/>
      <c r="W48" s="8" t="s">
        <v>2966</v>
      </c>
      <c r="X48" s="8" t="s">
        <v>2967</v>
      </c>
    </row>
    <row r="49" spans="1:24" ht="11.25">
      <c r="A49" s="5" t="s">
        <v>3305</v>
      </c>
      <c r="B49" s="5" t="s">
        <v>3306</v>
      </c>
      <c r="C49" s="6" t="s">
        <v>3307</v>
      </c>
      <c r="D49" s="6"/>
      <c r="E49" s="6"/>
      <c r="F49" s="5" t="s">
        <v>3272</v>
      </c>
      <c r="G49" s="5"/>
      <c r="H49" s="6" t="s">
        <v>3308</v>
      </c>
      <c r="I49" s="5">
        <v>1523</v>
      </c>
      <c r="J49" s="5">
        <v>4997</v>
      </c>
      <c r="K49" s="7" t="str">
        <f>HYPERLINK("http://www.centcols.org/util/geo/visuGen.php?code=US-AZ-1523","US-AZ-1523")</f>
        <v>US-AZ-1523</v>
      </c>
      <c r="L49" s="8" t="s">
        <v>3309</v>
      </c>
      <c r="M49" s="9" t="s">
        <v>3310</v>
      </c>
      <c r="N49" s="8">
        <v>0</v>
      </c>
      <c r="O49" s="8">
        <v>0</v>
      </c>
      <c r="P49" s="8"/>
      <c r="Q49" s="5">
        <v>-110.0741691</v>
      </c>
      <c r="R49" s="5">
        <v>32.0630605</v>
      </c>
      <c r="S49" s="5" t="s">
        <v>3311</v>
      </c>
      <c r="T49" s="5" t="s">
        <v>3312</v>
      </c>
      <c r="U49" s="8"/>
      <c r="V49" s="8"/>
      <c r="W49" s="8" t="s">
        <v>2966</v>
      </c>
      <c r="X49" s="8" t="s">
        <v>3202</v>
      </c>
    </row>
    <row r="50" spans="1:24" ht="11.25">
      <c r="A50" s="5" t="s">
        <v>3313</v>
      </c>
      <c r="B50" s="5" t="s">
        <v>3314</v>
      </c>
      <c r="C50" s="6" t="s">
        <v>3315</v>
      </c>
      <c r="D50" s="6"/>
      <c r="E50" s="6"/>
      <c r="F50" s="5" t="s">
        <v>3272</v>
      </c>
      <c r="G50" s="5"/>
      <c r="H50" s="6" t="s">
        <v>3308</v>
      </c>
      <c r="I50" s="5">
        <v>1596</v>
      </c>
      <c r="J50" s="5">
        <v>5236</v>
      </c>
      <c r="K50" s="7" t="str">
        <f>HYPERLINK("http://www.centcols.org/util/geo/visuGen.php?code=US-AZ-1596","US-AZ-1596")</f>
        <v>US-AZ-1596</v>
      </c>
      <c r="L50" s="8" t="s">
        <v>3316</v>
      </c>
      <c r="M50" s="8" t="s">
        <v>2988</v>
      </c>
      <c r="N50" s="8">
        <v>10</v>
      </c>
      <c r="O50" s="8">
        <v>35</v>
      </c>
      <c r="P50" s="8"/>
      <c r="Q50" s="5">
        <v>-109.8853469</v>
      </c>
      <c r="R50" s="5">
        <v>31.7846688</v>
      </c>
      <c r="S50" s="5" t="s">
        <v>3317</v>
      </c>
      <c r="T50" s="5" t="s">
        <v>3318</v>
      </c>
      <c r="U50" s="8"/>
      <c r="V50" s="8"/>
      <c r="W50" s="8" t="s">
        <v>2966</v>
      </c>
      <c r="X50" s="8" t="s">
        <v>2991</v>
      </c>
    </row>
    <row r="51" spans="1:24" ht="11.25">
      <c r="A51" s="5" t="s">
        <v>3319</v>
      </c>
      <c r="B51" s="5" t="s">
        <v>3320</v>
      </c>
      <c r="C51" s="6" t="s">
        <v>3321</v>
      </c>
      <c r="D51" s="6"/>
      <c r="E51" s="6"/>
      <c r="F51" s="5" t="s">
        <v>3272</v>
      </c>
      <c r="G51" s="5"/>
      <c r="H51" s="6" t="s">
        <v>3322</v>
      </c>
      <c r="I51" s="5">
        <v>1816</v>
      </c>
      <c r="J51" s="5">
        <v>5958</v>
      </c>
      <c r="K51" s="7" t="str">
        <f>HYPERLINK("http://www.centcols.org/util/geo/visuGen.php?code=US-AZ-1816","US-AZ-1816")</f>
        <v>US-AZ-1816</v>
      </c>
      <c r="L51" s="8" t="s">
        <v>3323</v>
      </c>
      <c r="M51" s="8" t="s">
        <v>2962</v>
      </c>
      <c r="N51" s="8">
        <v>20</v>
      </c>
      <c r="O51" s="8">
        <v>99</v>
      </c>
      <c r="P51" s="8"/>
      <c r="Q51" s="5">
        <v>-109.3602772</v>
      </c>
      <c r="R51" s="5">
        <v>36.5852787</v>
      </c>
      <c r="S51" s="5" t="s">
        <v>3324</v>
      </c>
      <c r="T51" s="5" t="s">
        <v>3325</v>
      </c>
      <c r="U51" s="8"/>
      <c r="V51" s="8"/>
      <c r="W51" s="8" t="s">
        <v>2966</v>
      </c>
      <c r="X51" s="8" t="s">
        <v>2991</v>
      </c>
    </row>
    <row r="52" spans="1:24" ht="11.25">
      <c r="A52" s="5" t="s">
        <v>3326</v>
      </c>
      <c r="B52" s="5" t="s">
        <v>3327</v>
      </c>
      <c r="C52" s="6" t="s">
        <v>3328</v>
      </c>
      <c r="D52" s="6"/>
      <c r="E52" s="6"/>
      <c r="F52" s="5" t="s">
        <v>3272</v>
      </c>
      <c r="G52" s="5"/>
      <c r="H52" s="6" t="s">
        <v>3329</v>
      </c>
      <c r="I52" s="5">
        <v>1934</v>
      </c>
      <c r="J52" s="5">
        <v>6345</v>
      </c>
      <c r="K52" s="7" t="str">
        <f>HYPERLINK("http://www.centcols.org/util/geo/visuGen.php?code=US-AZ-1934a","US-AZ-1934a")</f>
        <v>US-AZ-1934a</v>
      </c>
      <c r="L52" s="8" t="s">
        <v>3330</v>
      </c>
      <c r="M52" s="9" t="s">
        <v>3331</v>
      </c>
      <c r="N52" s="8">
        <v>0</v>
      </c>
      <c r="O52" s="8">
        <v>0</v>
      </c>
      <c r="P52" s="8"/>
      <c r="Q52" s="5">
        <v>-110.0478793</v>
      </c>
      <c r="R52" s="5">
        <v>34.3332008</v>
      </c>
      <c r="S52" s="5" t="s">
        <v>3332</v>
      </c>
      <c r="T52" s="5" t="s">
        <v>3333</v>
      </c>
      <c r="U52" s="8"/>
      <c r="V52" s="8"/>
      <c r="W52" s="8" t="s">
        <v>2966</v>
      </c>
      <c r="X52" s="8" t="s">
        <v>3202</v>
      </c>
    </row>
    <row r="53" spans="1:24" ht="11.25">
      <c r="A53" s="5" t="s">
        <v>3334</v>
      </c>
      <c r="B53" s="5" t="s">
        <v>3335</v>
      </c>
      <c r="C53" s="6" t="s">
        <v>3336</v>
      </c>
      <c r="D53" s="6"/>
      <c r="E53" s="6"/>
      <c r="F53" s="5" t="s">
        <v>3272</v>
      </c>
      <c r="G53" s="5"/>
      <c r="H53" s="6" t="s">
        <v>3295</v>
      </c>
      <c r="I53" s="5">
        <v>1947</v>
      </c>
      <c r="J53" s="5">
        <v>6388</v>
      </c>
      <c r="K53" s="7" t="str">
        <f>HYPERLINK("http://www.centcols.org/util/geo/visuGen.php?code=US-AZ-1947","US-AZ-1947")</f>
        <v>US-AZ-1947</v>
      </c>
      <c r="L53" s="8" t="s">
        <v>3337</v>
      </c>
      <c r="M53" s="8"/>
      <c r="N53" s="8">
        <v>20</v>
      </c>
      <c r="O53" s="8">
        <v>99</v>
      </c>
      <c r="P53" s="8" t="s">
        <v>3338</v>
      </c>
      <c r="Q53" s="5">
        <v>-111.306667</v>
      </c>
      <c r="R53" s="5">
        <v>33.676389</v>
      </c>
      <c r="S53" s="5" t="s">
        <v>3339</v>
      </c>
      <c r="T53" s="5" t="s">
        <v>3340</v>
      </c>
      <c r="U53" s="8"/>
      <c r="V53" s="8" t="s">
        <v>3341</v>
      </c>
      <c r="W53" s="8" t="s">
        <v>2966</v>
      </c>
      <c r="X53" s="8" t="s">
        <v>3011</v>
      </c>
    </row>
    <row r="54" spans="1:24" ht="11.25">
      <c r="A54" s="5" t="s">
        <v>3342</v>
      </c>
      <c r="B54" s="5" t="s">
        <v>3343</v>
      </c>
      <c r="C54" s="6" t="s">
        <v>3344</v>
      </c>
      <c r="D54" s="6"/>
      <c r="E54" s="6"/>
      <c r="F54" s="5" t="s">
        <v>3272</v>
      </c>
      <c r="G54" s="5"/>
      <c r="H54" s="6" t="s">
        <v>3273</v>
      </c>
      <c r="I54" s="5">
        <v>1953</v>
      </c>
      <c r="J54" s="5">
        <v>6407</v>
      </c>
      <c r="K54" s="7" t="str">
        <f>HYPERLINK("http://www.centcols.org/util/geo/visuGen.php?code=US-AZ-1953","US-AZ-1953")</f>
        <v>US-AZ-1953</v>
      </c>
      <c r="L54" s="8" t="s">
        <v>3337</v>
      </c>
      <c r="M54" s="8" t="s">
        <v>3222</v>
      </c>
      <c r="N54" s="8">
        <v>15</v>
      </c>
      <c r="O54" s="8">
        <v>99</v>
      </c>
      <c r="P54" s="8" t="s">
        <v>3338</v>
      </c>
      <c r="Q54" s="5">
        <v>-111.3153593</v>
      </c>
      <c r="R54" s="5">
        <v>33.6813913</v>
      </c>
      <c r="S54" s="5" t="s">
        <v>3345</v>
      </c>
      <c r="T54" s="5" t="s">
        <v>3346</v>
      </c>
      <c r="U54" s="8"/>
      <c r="V54" s="8" t="s">
        <v>3341</v>
      </c>
      <c r="W54" s="8" t="s">
        <v>2966</v>
      </c>
      <c r="X54" s="8" t="s">
        <v>3202</v>
      </c>
    </row>
    <row r="55" spans="1:24" ht="11.25">
      <c r="A55" s="5" t="s">
        <v>3347</v>
      </c>
      <c r="B55" s="5" t="s">
        <v>3348</v>
      </c>
      <c r="C55" s="6" t="s">
        <v>3349</v>
      </c>
      <c r="D55" s="6"/>
      <c r="E55" s="6" t="s">
        <v>3350</v>
      </c>
      <c r="F55" s="5" t="s">
        <v>3272</v>
      </c>
      <c r="G55" s="5"/>
      <c r="H55" s="6" t="s">
        <v>3351</v>
      </c>
      <c r="I55" s="5">
        <v>2268</v>
      </c>
      <c r="J55" s="5">
        <v>7441</v>
      </c>
      <c r="K55" s="7" t="str">
        <f>HYPERLINK("http://www.centcols.org/util/geo/visuGen.php?code=US-AZ-2268","US-AZ-2268")</f>
        <v>US-AZ-2268</v>
      </c>
      <c r="L55" s="8" t="s">
        <v>3352</v>
      </c>
      <c r="M55" s="8"/>
      <c r="N55" s="8">
        <v>10</v>
      </c>
      <c r="O55" s="8">
        <v>35</v>
      </c>
      <c r="P55" s="8"/>
      <c r="Q55" s="5">
        <v>-111.968889</v>
      </c>
      <c r="R55" s="5">
        <v>35.326944</v>
      </c>
      <c r="S55" s="5" t="s">
        <v>3353</v>
      </c>
      <c r="T55" s="5" t="s">
        <v>3354</v>
      </c>
      <c r="U55" s="8"/>
      <c r="V55" s="8"/>
      <c r="W55" s="8" t="s">
        <v>2966</v>
      </c>
      <c r="X55" s="8" t="s">
        <v>3011</v>
      </c>
    </row>
    <row r="56" spans="1:24" ht="11.25">
      <c r="A56" s="5" t="s">
        <v>3355</v>
      </c>
      <c r="B56" s="5" t="s">
        <v>3356</v>
      </c>
      <c r="C56" s="6" t="s">
        <v>3357</v>
      </c>
      <c r="D56" s="6"/>
      <c r="E56" s="6"/>
      <c r="F56" s="5" t="s">
        <v>3272</v>
      </c>
      <c r="G56" s="5"/>
      <c r="H56" s="6" t="s">
        <v>3308</v>
      </c>
      <c r="I56" s="5">
        <v>2754</v>
      </c>
      <c r="J56" s="5">
        <v>9035</v>
      </c>
      <c r="K56" s="7" t="str">
        <f>HYPERLINK("http://www.centcols.org/util/geo/visuGen.php?code=US-AZ-2754","US-AZ-2754")</f>
        <v>US-AZ-2754</v>
      </c>
      <c r="L56" s="8" t="s">
        <v>3358</v>
      </c>
      <c r="M56" s="8" t="s">
        <v>2988</v>
      </c>
      <c r="N56" s="8">
        <v>10</v>
      </c>
      <c r="O56" s="8">
        <v>35</v>
      </c>
      <c r="P56" s="8" t="s">
        <v>3338</v>
      </c>
      <c r="Q56" s="5">
        <v>-109.286579</v>
      </c>
      <c r="R56" s="5">
        <v>31.8802606</v>
      </c>
      <c r="S56" s="5" t="s">
        <v>3359</v>
      </c>
      <c r="T56" s="5" t="s">
        <v>3360</v>
      </c>
      <c r="U56" s="8"/>
      <c r="V56" s="8" t="s">
        <v>3361</v>
      </c>
      <c r="W56" s="8" t="s">
        <v>2966</v>
      </c>
      <c r="X56" s="8" t="s">
        <v>2967</v>
      </c>
    </row>
    <row r="57" spans="1:24" ht="11.25">
      <c r="A57" s="5" t="s">
        <v>3362</v>
      </c>
      <c r="B57" s="5" t="s">
        <v>3363</v>
      </c>
      <c r="C57" s="6" t="s">
        <v>3364</v>
      </c>
      <c r="D57" s="6"/>
      <c r="E57" s="6"/>
      <c r="F57" s="5" t="s">
        <v>3272</v>
      </c>
      <c r="G57" s="5"/>
      <c r="H57" s="6" t="s">
        <v>3308</v>
      </c>
      <c r="I57" s="5">
        <v>2823</v>
      </c>
      <c r="J57" s="5">
        <v>9262</v>
      </c>
      <c r="K57" s="7" t="str">
        <f>HYPERLINK("http://www.centcols.org/util/geo/visuGen.php?code=US-AZ-2823","US-AZ-2823")</f>
        <v>US-AZ-2823</v>
      </c>
      <c r="L57" s="8" t="s">
        <v>3365</v>
      </c>
      <c r="M57" s="8" t="s">
        <v>3222</v>
      </c>
      <c r="N57" s="8">
        <v>15</v>
      </c>
      <c r="O57" s="8">
        <v>99</v>
      </c>
      <c r="P57" s="8" t="s">
        <v>3338</v>
      </c>
      <c r="Q57" s="5">
        <v>-109.2877295</v>
      </c>
      <c r="R57" s="5">
        <v>31.8613302</v>
      </c>
      <c r="S57" s="5" t="s">
        <v>3366</v>
      </c>
      <c r="T57" s="5" t="s">
        <v>3367</v>
      </c>
      <c r="U57" s="8"/>
      <c r="V57" s="8" t="s">
        <v>3361</v>
      </c>
      <c r="W57" s="8" t="s">
        <v>2966</v>
      </c>
      <c r="X57" s="8" t="s">
        <v>2967</v>
      </c>
    </row>
    <row r="58" spans="1:24" ht="11.25">
      <c r="A58" s="5" t="s">
        <v>3368</v>
      </c>
      <c r="B58" s="5" t="s">
        <v>3369</v>
      </c>
      <c r="C58" s="6" t="s">
        <v>3370</v>
      </c>
      <c r="D58" s="6"/>
      <c r="E58" s="6"/>
      <c r="F58" s="5" t="s">
        <v>3272</v>
      </c>
      <c r="G58" s="5"/>
      <c r="H58" s="6" t="s">
        <v>3308</v>
      </c>
      <c r="I58" s="5">
        <v>2827</v>
      </c>
      <c r="J58" s="5">
        <v>9275</v>
      </c>
      <c r="K58" s="7" t="str">
        <f>HYPERLINK("http://www.centcols.org/util/geo/visuGen.php?code=US-AZ-2827","US-AZ-2827")</f>
        <v>US-AZ-2827</v>
      </c>
      <c r="L58" s="8" t="s">
        <v>3371</v>
      </c>
      <c r="M58" s="8" t="s">
        <v>3222</v>
      </c>
      <c r="N58" s="8">
        <v>15</v>
      </c>
      <c r="O58" s="8">
        <v>99</v>
      </c>
      <c r="P58" s="8" t="s">
        <v>3338</v>
      </c>
      <c r="Q58" s="5">
        <v>-109.2843093</v>
      </c>
      <c r="R58" s="5">
        <v>31.8689309</v>
      </c>
      <c r="S58" s="5" t="s">
        <v>3372</v>
      </c>
      <c r="T58" s="5" t="s">
        <v>3373</v>
      </c>
      <c r="U58" s="8"/>
      <c r="V58" s="8" t="s">
        <v>3361</v>
      </c>
      <c r="W58" s="8" t="s">
        <v>2966</v>
      </c>
      <c r="X58" s="8" t="s">
        <v>2967</v>
      </c>
    </row>
    <row r="59" spans="1:24" ht="11.25">
      <c r="A59" s="5" t="s">
        <v>3374</v>
      </c>
      <c r="B59" s="5" t="s">
        <v>3375</v>
      </c>
      <c r="C59" s="6" t="s">
        <v>3376</v>
      </c>
      <c r="D59" s="6"/>
      <c r="E59" s="6"/>
      <c r="F59" s="5" t="s">
        <v>3272</v>
      </c>
      <c r="G59" s="5"/>
      <c r="H59" s="6" t="s">
        <v>3308</v>
      </c>
      <c r="I59" s="5">
        <v>2905</v>
      </c>
      <c r="J59" s="5">
        <v>9531</v>
      </c>
      <c r="K59" s="7" t="str">
        <f>HYPERLINK("http://www.centcols.org/util/geo/visuGen.php?code=US-AZ-2905","US-AZ-2905")</f>
        <v>US-AZ-2905</v>
      </c>
      <c r="L59" s="8" t="s">
        <v>3365</v>
      </c>
      <c r="M59" s="8" t="s">
        <v>3222</v>
      </c>
      <c r="N59" s="8">
        <v>15</v>
      </c>
      <c r="O59" s="8">
        <v>99</v>
      </c>
      <c r="P59" s="8" t="s">
        <v>3338</v>
      </c>
      <c r="Q59" s="5">
        <v>-109.2877628</v>
      </c>
      <c r="R59" s="5">
        <v>31.8526969</v>
      </c>
      <c r="S59" s="5" t="s">
        <v>3377</v>
      </c>
      <c r="T59" s="5" t="s">
        <v>3378</v>
      </c>
      <c r="U59" s="8"/>
      <c r="V59" s="8" t="s">
        <v>3361</v>
      </c>
      <c r="W59" s="8" t="s">
        <v>2966</v>
      </c>
      <c r="X59" s="8" t="s">
        <v>2967</v>
      </c>
    </row>
    <row r="60" spans="1:24" ht="11.25">
      <c r="A60" s="5" t="s">
        <v>3379</v>
      </c>
      <c r="B60" s="5" t="s">
        <v>3380</v>
      </c>
      <c r="C60" s="6" t="s">
        <v>3381</v>
      </c>
      <c r="D60" s="6"/>
      <c r="E60" s="6"/>
      <c r="F60" s="5" t="s">
        <v>3382</v>
      </c>
      <c r="G60" s="5"/>
      <c r="H60" s="6" t="s">
        <v>3383</v>
      </c>
      <c r="I60" s="5">
        <v>33</v>
      </c>
      <c r="J60" s="5">
        <v>108</v>
      </c>
      <c r="K60" s="7" t="str">
        <f>HYPERLINK("http://www.centcols.org/util/geo/visuGen.php?code=US-CA-0033","US-CA-0033")</f>
        <v>US-CA-0033</v>
      </c>
      <c r="L60" s="8" t="s">
        <v>3384</v>
      </c>
      <c r="M60" s="9" t="s">
        <v>3385</v>
      </c>
      <c r="N60" s="8">
        <v>0</v>
      </c>
      <c r="O60" s="8">
        <v>0</v>
      </c>
      <c r="P60" s="8"/>
      <c r="Q60" s="5">
        <v>-123.0608694</v>
      </c>
      <c r="R60" s="5">
        <v>38.30435</v>
      </c>
      <c r="S60" s="5" t="s">
        <v>3386</v>
      </c>
      <c r="T60" s="5" t="s">
        <v>3387</v>
      </c>
      <c r="U60" s="8"/>
      <c r="V60" s="8"/>
      <c r="W60" s="8" t="s">
        <v>2966</v>
      </c>
      <c r="X60" s="8" t="s">
        <v>2967</v>
      </c>
    </row>
    <row r="61" spans="1:24" ht="11.25">
      <c r="A61" s="5" t="s">
        <v>3388</v>
      </c>
      <c r="B61" s="5" t="s">
        <v>3389</v>
      </c>
      <c r="C61" s="6" t="s">
        <v>3134</v>
      </c>
      <c r="D61" s="6"/>
      <c r="E61" s="6"/>
      <c r="F61" s="5" t="s">
        <v>3382</v>
      </c>
      <c r="G61" s="5"/>
      <c r="H61" s="6" t="s">
        <v>3390</v>
      </c>
      <c r="I61" s="5">
        <v>185</v>
      </c>
      <c r="J61" s="5">
        <v>607</v>
      </c>
      <c r="K61" s="7" t="str">
        <f>HYPERLINK("http://www.centcols.org/util/geo/visuGen.php?code=US-CA-0185","US-CA-0185")</f>
        <v>US-CA-0185</v>
      </c>
      <c r="L61" s="8" t="s">
        <v>3391</v>
      </c>
      <c r="M61" s="9" t="s">
        <v>3392</v>
      </c>
      <c r="N61" s="8">
        <v>0</v>
      </c>
      <c r="O61" s="8">
        <v>0</v>
      </c>
      <c r="P61" s="8"/>
      <c r="Q61" s="5">
        <v>-121.7025699</v>
      </c>
      <c r="R61" s="5">
        <v>39.690551</v>
      </c>
      <c r="S61" s="5" t="s">
        <v>3393</v>
      </c>
      <c r="T61" s="5" t="s">
        <v>3394</v>
      </c>
      <c r="U61" s="8"/>
      <c r="V61" s="8"/>
      <c r="W61" s="8" t="s">
        <v>2966</v>
      </c>
      <c r="X61" s="8" t="s">
        <v>3202</v>
      </c>
    </row>
    <row r="62" spans="1:24" ht="11.25">
      <c r="A62" s="5" t="s">
        <v>3395</v>
      </c>
      <c r="B62" s="5" t="s">
        <v>3396</v>
      </c>
      <c r="C62" s="6" t="s">
        <v>3397</v>
      </c>
      <c r="D62" s="6"/>
      <c r="E62" s="6"/>
      <c r="F62" s="5" t="s">
        <v>3382</v>
      </c>
      <c r="G62" s="5"/>
      <c r="H62" s="6" t="s">
        <v>3398</v>
      </c>
      <c r="I62" s="5">
        <v>202</v>
      </c>
      <c r="J62" s="5">
        <v>663</v>
      </c>
      <c r="K62" s="7" t="str">
        <f>HYPERLINK("http://www.centcols.org/util/geo/visuGen.php?code=US-CA-0202","US-CA-0202")</f>
        <v>US-CA-0202</v>
      </c>
      <c r="L62" s="8" t="s">
        <v>3399</v>
      </c>
      <c r="M62" s="8" t="s">
        <v>2962</v>
      </c>
      <c r="N62" s="8">
        <v>10</v>
      </c>
      <c r="O62" s="8">
        <v>99</v>
      </c>
      <c r="P62" s="8"/>
      <c r="Q62" s="5">
        <v>-121.6242689</v>
      </c>
      <c r="R62" s="5">
        <v>37.7299414</v>
      </c>
      <c r="S62" s="5" t="s">
        <v>3400</v>
      </c>
      <c r="T62" s="5" t="s">
        <v>3401</v>
      </c>
      <c r="U62" s="8"/>
      <c r="V62" s="8"/>
      <c r="W62" s="8" t="s">
        <v>2966</v>
      </c>
      <c r="X62" s="8" t="s">
        <v>3402</v>
      </c>
    </row>
    <row r="63" spans="1:24" ht="11.25">
      <c r="A63" s="5" t="s">
        <v>3403</v>
      </c>
      <c r="B63" s="5" t="s">
        <v>3404</v>
      </c>
      <c r="C63" s="6" t="s">
        <v>3405</v>
      </c>
      <c r="D63" s="6"/>
      <c r="E63" s="6"/>
      <c r="F63" s="5" t="s">
        <v>3382</v>
      </c>
      <c r="G63" s="5"/>
      <c r="H63" s="6" t="s">
        <v>3406</v>
      </c>
      <c r="I63" s="5">
        <v>244</v>
      </c>
      <c r="J63" s="5">
        <v>801</v>
      </c>
      <c r="K63" s="7" t="str">
        <f>HYPERLINK("http://www.centcols.org/util/geo/visuGen.php?code=US-CA-0244","US-CA-0244")</f>
        <v>US-CA-0244</v>
      </c>
      <c r="L63" s="8" t="s">
        <v>3407</v>
      </c>
      <c r="M63" s="8" t="s">
        <v>2962</v>
      </c>
      <c r="N63" s="8">
        <v>20</v>
      </c>
      <c r="O63" s="8">
        <v>99</v>
      </c>
      <c r="P63" s="8"/>
      <c r="Q63" s="5">
        <v>-120.0461882</v>
      </c>
      <c r="R63" s="5">
        <v>35.7367459</v>
      </c>
      <c r="S63" s="5" t="s">
        <v>3408</v>
      </c>
      <c r="T63" s="5" t="s">
        <v>3409</v>
      </c>
      <c r="U63" s="8"/>
      <c r="V63" s="8"/>
      <c r="W63" s="8" t="s">
        <v>2966</v>
      </c>
      <c r="X63" s="8" t="s">
        <v>2991</v>
      </c>
    </row>
    <row r="64" spans="1:24" ht="11.25">
      <c r="A64" s="5" t="s">
        <v>3410</v>
      </c>
      <c r="B64" s="5" t="s">
        <v>3411</v>
      </c>
      <c r="C64" s="6" t="s">
        <v>3412</v>
      </c>
      <c r="D64" s="6"/>
      <c r="E64" s="6"/>
      <c r="F64" s="5" t="s">
        <v>3382</v>
      </c>
      <c r="G64" s="5"/>
      <c r="H64" s="6" t="s">
        <v>3413</v>
      </c>
      <c r="I64" s="5">
        <v>315</v>
      </c>
      <c r="J64" s="5">
        <v>1033</v>
      </c>
      <c r="K64" s="7" t="str">
        <f>HYPERLINK("http://www.centcols.org/util/geo/visuGen.php?code=US-CA-0315","US-CA-0315")</f>
        <v>US-CA-0315</v>
      </c>
      <c r="L64" s="8" t="s">
        <v>3414</v>
      </c>
      <c r="M64" s="8" t="s">
        <v>2988</v>
      </c>
      <c r="N64" s="8">
        <v>10</v>
      </c>
      <c r="O64" s="8">
        <v>35</v>
      </c>
      <c r="P64" s="8"/>
      <c r="Q64" s="5">
        <v>-120.007529</v>
      </c>
      <c r="R64" s="5">
        <v>35.9852806</v>
      </c>
      <c r="S64" s="5" t="s">
        <v>3415</v>
      </c>
      <c r="T64" s="5" t="s">
        <v>3416</v>
      </c>
      <c r="U64" s="8"/>
      <c r="V64" s="8"/>
      <c r="W64" s="8" t="s">
        <v>2966</v>
      </c>
      <c r="X64" s="8" t="s">
        <v>2967</v>
      </c>
    </row>
    <row r="65" spans="1:24" ht="11.25">
      <c r="A65" s="5" t="s">
        <v>3417</v>
      </c>
      <c r="B65" s="5" t="s">
        <v>3418</v>
      </c>
      <c r="C65" s="6" t="s">
        <v>3419</v>
      </c>
      <c r="D65" s="6"/>
      <c r="E65" s="6"/>
      <c r="F65" s="5" t="s">
        <v>3382</v>
      </c>
      <c r="G65" s="5"/>
      <c r="H65" s="6" t="s">
        <v>3420</v>
      </c>
      <c r="I65" s="5">
        <v>450</v>
      </c>
      <c r="J65" s="5">
        <v>1476</v>
      </c>
      <c r="K65" s="7" t="str">
        <f>HYPERLINK("http://www.centcols.org/util/geo/visuGen.php?code=US-CA-0450","US-CA-0450")</f>
        <v>US-CA-0450</v>
      </c>
      <c r="L65" s="8" t="s">
        <v>3421</v>
      </c>
      <c r="M65" s="8" t="s">
        <v>3113</v>
      </c>
      <c r="N65" s="8">
        <v>10</v>
      </c>
      <c r="O65" s="8">
        <v>35</v>
      </c>
      <c r="P65" s="8"/>
      <c r="Q65" s="5">
        <v>-116.7374188</v>
      </c>
      <c r="R65" s="5">
        <v>32.6121907</v>
      </c>
      <c r="S65" s="5" t="s">
        <v>3422</v>
      </c>
      <c r="T65" s="5" t="s">
        <v>3423</v>
      </c>
      <c r="U65" s="8"/>
      <c r="V65" s="8"/>
      <c r="W65" s="8" t="s">
        <v>2966</v>
      </c>
      <c r="X65" s="8" t="s">
        <v>3202</v>
      </c>
    </row>
    <row r="66" spans="1:24" ht="11.25">
      <c r="A66" s="5" t="s">
        <v>3424</v>
      </c>
      <c r="B66" s="5" t="s">
        <v>3425</v>
      </c>
      <c r="C66" s="6" t="s">
        <v>3134</v>
      </c>
      <c r="D66" s="6"/>
      <c r="E66" s="6"/>
      <c r="F66" s="5" t="s">
        <v>3382</v>
      </c>
      <c r="G66" s="5"/>
      <c r="H66" s="6" t="s">
        <v>3426</v>
      </c>
      <c r="I66" s="5">
        <v>458</v>
      </c>
      <c r="J66" s="5">
        <v>1503</v>
      </c>
      <c r="K66" s="7" t="str">
        <f>HYPERLINK("http://www.centcols.org/util/geo/visuGen.php?code=US-CA-0458","US-CA-0458")</f>
        <v>US-CA-0458</v>
      </c>
      <c r="L66" s="8" t="s">
        <v>3427</v>
      </c>
      <c r="M66" s="8" t="s">
        <v>3113</v>
      </c>
      <c r="N66" s="8">
        <v>10</v>
      </c>
      <c r="O66" s="8">
        <v>35</v>
      </c>
      <c r="P66" s="8"/>
      <c r="Q66" s="5">
        <v>-121.9158693</v>
      </c>
      <c r="R66" s="5">
        <v>40.0805009</v>
      </c>
      <c r="S66" s="5" t="s">
        <v>3428</v>
      </c>
      <c r="T66" s="5" t="s">
        <v>3429</v>
      </c>
      <c r="U66" s="8"/>
      <c r="V66" s="8"/>
      <c r="W66" s="8" t="s">
        <v>2966</v>
      </c>
      <c r="X66" s="8" t="s">
        <v>3202</v>
      </c>
    </row>
    <row r="67" spans="1:24" ht="11.25">
      <c r="A67" s="5" t="s">
        <v>3430</v>
      </c>
      <c r="B67" s="5" t="s">
        <v>3431</v>
      </c>
      <c r="C67" s="6" t="s">
        <v>3432</v>
      </c>
      <c r="D67" s="6"/>
      <c r="E67" s="6"/>
      <c r="F67" s="5" t="s">
        <v>3382</v>
      </c>
      <c r="G67" s="5"/>
      <c r="H67" s="6" t="s">
        <v>3433</v>
      </c>
      <c r="I67" s="5">
        <v>483</v>
      </c>
      <c r="J67" s="5">
        <v>1585</v>
      </c>
      <c r="K67" s="7" t="str">
        <f>HYPERLINK("http://www.centcols.org/util/geo/visuGen.php?code=US-CA-0483","US-CA-0483")</f>
        <v>US-CA-0483</v>
      </c>
      <c r="L67" s="8" t="s">
        <v>3434</v>
      </c>
      <c r="M67" s="8" t="s">
        <v>3222</v>
      </c>
      <c r="N67" s="8">
        <v>15</v>
      </c>
      <c r="O67" s="8">
        <v>99</v>
      </c>
      <c r="P67" s="8" t="s">
        <v>3338</v>
      </c>
      <c r="Q67" s="5">
        <v>-118.8028128</v>
      </c>
      <c r="R67" s="5">
        <v>34.5494389</v>
      </c>
      <c r="S67" s="5" t="s">
        <v>3435</v>
      </c>
      <c r="T67" s="5" t="s">
        <v>3436</v>
      </c>
      <c r="U67" s="8"/>
      <c r="V67" s="8" t="s">
        <v>3437</v>
      </c>
      <c r="W67" s="8" t="s">
        <v>2966</v>
      </c>
      <c r="X67" s="8" t="s">
        <v>2991</v>
      </c>
    </row>
    <row r="68" spans="1:24" ht="11.25">
      <c r="A68" s="5" t="s">
        <v>3438</v>
      </c>
      <c r="B68" s="5" t="s">
        <v>3439</v>
      </c>
      <c r="C68" s="6" t="s">
        <v>3440</v>
      </c>
      <c r="D68" s="6"/>
      <c r="E68" s="6"/>
      <c r="F68" s="5" t="s">
        <v>3382</v>
      </c>
      <c r="G68" s="5"/>
      <c r="H68" s="6" t="s">
        <v>3441</v>
      </c>
      <c r="I68" s="5">
        <v>485</v>
      </c>
      <c r="J68" s="5">
        <v>1591</v>
      </c>
      <c r="K68" s="7" t="str">
        <f>HYPERLINK("http://www.centcols.org/util/geo/visuGen.php?code=US-CA-0485","US-CA-0485")</f>
        <v>US-CA-0485</v>
      </c>
      <c r="L68" s="8" t="s">
        <v>3442</v>
      </c>
      <c r="M68" s="9" t="s">
        <v>3443</v>
      </c>
      <c r="N68" s="8">
        <v>0</v>
      </c>
      <c r="O68" s="8">
        <v>0</v>
      </c>
      <c r="P68" s="8"/>
      <c r="Q68" s="5">
        <v>-116.7508487</v>
      </c>
      <c r="R68" s="5">
        <v>33.916682</v>
      </c>
      <c r="S68" s="5" t="s">
        <v>3444</v>
      </c>
      <c r="T68" s="5" t="s">
        <v>3445</v>
      </c>
      <c r="U68" s="8"/>
      <c r="V68" s="8"/>
      <c r="W68" s="8" t="s">
        <v>2966</v>
      </c>
      <c r="X68" s="8" t="s">
        <v>3202</v>
      </c>
    </row>
    <row r="69" spans="1:24" ht="11.25">
      <c r="A69" s="5" t="s">
        <v>3446</v>
      </c>
      <c r="B69" s="5" t="s">
        <v>3447</v>
      </c>
      <c r="C69" s="6" t="s">
        <v>3448</v>
      </c>
      <c r="D69" s="6"/>
      <c r="E69" s="6"/>
      <c r="F69" s="5" t="s">
        <v>3382</v>
      </c>
      <c r="G69" s="5"/>
      <c r="H69" s="6" t="s">
        <v>3449</v>
      </c>
      <c r="I69" s="5">
        <v>583</v>
      </c>
      <c r="J69" s="5">
        <v>1913</v>
      </c>
      <c r="K69" s="7" t="str">
        <f>HYPERLINK("http://www.centcols.org/util/geo/visuGen.php?code=US-CA-0583a","US-CA-0583a")</f>
        <v>US-CA-0583a</v>
      </c>
      <c r="L69" s="8" t="s">
        <v>3450</v>
      </c>
      <c r="M69" s="8" t="s">
        <v>2988</v>
      </c>
      <c r="N69" s="8">
        <v>10</v>
      </c>
      <c r="O69" s="8">
        <v>35</v>
      </c>
      <c r="P69" s="8" t="s">
        <v>3338</v>
      </c>
      <c r="Q69" s="5">
        <v>-116.7233324</v>
      </c>
      <c r="R69" s="5">
        <v>36.414723</v>
      </c>
      <c r="S69" s="5" t="s">
        <v>3451</v>
      </c>
      <c r="T69" s="5" t="s">
        <v>3452</v>
      </c>
      <c r="U69" s="8"/>
      <c r="V69" s="8" t="s">
        <v>3453</v>
      </c>
      <c r="W69" s="8" t="s">
        <v>2966</v>
      </c>
      <c r="X69" s="8" t="s">
        <v>3125</v>
      </c>
    </row>
    <row r="70" spans="1:24" ht="11.25">
      <c r="A70" s="5" t="s">
        <v>3454</v>
      </c>
      <c r="B70" s="5" t="s">
        <v>3455</v>
      </c>
      <c r="C70" s="6" t="s">
        <v>3456</v>
      </c>
      <c r="D70" s="6"/>
      <c r="E70" s="6"/>
      <c r="F70" s="5" t="s">
        <v>3382</v>
      </c>
      <c r="G70" s="5"/>
      <c r="H70" s="6" t="s">
        <v>3457</v>
      </c>
      <c r="I70" s="5">
        <v>613</v>
      </c>
      <c r="J70" s="5">
        <v>2011</v>
      </c>
      <c r="K70" s="7" t="str">
        <f>HYPERLINK("http://www.centcols.org/util/geo/visuGen.php?code=US-CA-0613a","US-CA-0613a")</f>
        <v>US-CA-0613a</v>
      </c>
      <c r="L70" s="8" t="s">
        <v>3458</v>
      </c>
      <c r="M70" s="8"/>
      <c r="N70" s="8">
        <v>10</v>
      </c>
      <c r="O70" s="8">
        <v>35</v>
      </c>
      <c r="P70" s="8" t="s">
        <v>3338</v>
      </c>
      <c r="Q70" s="5">
        <v>-123.996111</v>
      </c>
      <c r="R70" s="5">
        <v>41.118056</v>
      </c>
      <c r="S70" s="5" t="s">
        <v>3459</v>
      </c>
      <c r="T70" s="5" t="s">
        <v>3460</v>
      </c>
      <c r="U70" s="8"/>
      <c r="V70" s="8"/>
      <c r="W70" s="8" t="s">
        <v>2966</v>
      </c>
      <c r="X70" s="8" t="s">
        <v>3011</v>
      </c>
    </row>
    <row r="71" spans="1:24" ht="11.25">
      <c r="A71" s="5" t="s">
        <v>3461</v>
      </c>
      <c r="B71" s="5" t="s">
        <v>3462</v>
      </c>
      <c r="C71" s="6" t="s">
        <v>3463</v>
      </c>
      <c r="D71" s="6"/>
      <c r="E71" s="6"/>
      <c r="F71" s="5" t="s">
        <v>3382</v>
      </c>
      <c r="G71" s="5"/>
      <c r="H71" s="6" t="s">
        <v>3464</v>
      </c>
      <c r="I71" s="5">
        <v>762</v>
      </c>
      <c r="J71" s="5">
        <v>2500</v>
      </c>
      <c r="K71" s="7" t="str">
        <f>HYPERLINK("http://www.centcols.org/util/geo/visuGen.php?code=US-CA-0762","US-CA-0762")</f>
        <v>US-CA-0762</v>
      </c>
      <c r="L71" s="8" t="s">
        <v>3465</v>
      </c>
      <c r="M71" s="8" t="s">
        <v>3222</v>
      </c>
      <c r="N71" s="8">
        <v>15</v>
      </c>
      <c r="O71" s="8">
        <v>99</v>
      </c>
      <c r="P71" s="8" t="s">
        <v>3338</v>
      </c>
      <c r="Q71" s="5">
        <v>-121.6302395</v>
      </c>
      <c r="R71" s="5">
        <v>36.3574507</v>
      </c>
      <c r="S71" s="5" t="s">
        <v>3466</v>
      </c>
      <c r="T71" s="5" t="s">
        <v>3467</v>
      </c>
      <c r="U71" s="8"/>
      <c r="V71" s="8" t="s">
        <v>3468</v>
      </c>
      <c r="W71" s="8" t="s">
        <v>2966</v>
      </c>
      <c r="X71" s="8" t="s">
        <v>2967</v>
      </c>
    </row>
    <row r="72" spans="1:24" ht="11.25">
      <c r="A72" s="5" t="s">
        <v>3469</v>
      </c>
      <c r="B72" s="5" t="s">
        <v>3470</v>
      </c>
      <c r="C72" s="6" t="s">
        <v>3471</v>
      </c>
      <c r="D72" s="6"/>
      <c r="E72" s="6"/>
      <c r="F72" s="5" t="s">
        <v>3382</v>
      </c>
      <c r="G72" s="5"/>
      <c r="H72" s="6" t="s">
        <v>3472</v>
      </c>
      <c r="I72" s="5">
        <v>1131</v>
      </c>
      <c r="J72" s="5">
        <v>3711</v>
      </c>
      <c r="K72" s="7" t="str">
        <f>HYPERLINK("http://www.centcols.org/util/geo/visuGen.php?code=US-CA-1131","US-CA-1131")</f>
        <v>US-CA-1131</v>
      </c>
      <c r="L72" s="8" t="s">
        <v>3473</v>
      </c>
      <c r="M72" s="8" t="s">
        <v>2988</v>
      </c>
      <c r="N72" s="8">
        <v>10</v>
      </c>
      <c r="O72" s="8">
        <v>35</v>
      </c>
      <c r="P72" s="8"/>
      <c r="Q72" s="5">
        <v>-120.9054052</v>
      </c>
      <c r="R72" s="5">
        <v>36.4582819</v>
      </c>
      <c r="S72" s="5" t="s">
        <v>3474</v>
      </c>
      <c r="T72" s="5" t="s">
        <v>3475</v>
      </c>
      <c r="U72" s="8"/>
      <c r="V72" s="8"/>
      <c r="W72" s="8" t="s">
        <v>2966</v>
      </c>
      <c r="X72" s="8" t="s">
        <v>2967</v>
      </c>
    </row>
    <row r="73" spans="1:24" ht="11.25">
      <c r="A73" s="5" t="s">
        <v>3476</v>
      </c>
      <c r="B73" s="5" t="s">
        <v>3477</v>
      </c>
      <c r="C73" s="6" t="s">
        <v>3478</v>
      </c>
      <c r="D73" s="6"/>
      <c r="E73" s="6"/>
      <c r="F73" s="5" t="s">
        <v>3382</v>
      </c>
      <c r="G73" s="5"/>
      <c r="H73" s="6" t="s">
        <v>3464</v>
      </c>
      <c r="I73" s="5">
        <v>1148</v>
      </c>
      <c r="J73" s="5">
        <v>3766</v>
      </c>
      <c r="K73" s="7" t="str">
        <f>HYPERLINK("http://www.centcols.org/util/geo/visuGen.php?code=US-CA-1148","US-CA-1148")</f>
        <v>US-CA-1148</v>
      </c>
      <c r="L73" s="8" t="s">
        <v>3479</v>
      </c>
      <c r="M73" s="8" t="s">
        <v>3222</v>
      </c>
      <c r="N73" s="8">
        <v>15</v>
      </c>
      <c r="O73" s="8">
        <v>99</v>
      </c>
      <c r="P73" s="8" t="s">
        <v>3338</v>
      </c>
      <c r="Q73" s="5">
        <v>-121.6030305</v>
      </c>
      <c r="R73" s="5">
        <v>36.3406501</v>
      </c>
      <c r="S73" s="5" t="s">
        <v>3480</v>
      </c>
      <c r="T73" s="5" t="s">
        <v>3481</v>
      </c>
      <c r="U73" s="8"/>
      <c r="V73" s="8" t="s">
        <v>3468</v>
      </c>
      <c r="W73" s="8" t="s">
        <v>2966</v>
      </c>
      <c r="X73" s="8" t="s">
        <v>2967</v>
      </c>
    </row>
    <row r="74" spans="1:24" ht="11.25">
      <c r="A74" s="5" t="s">
        <v>3482</v>
      </c>
      <c r="B74" s="5" t="s">
        <v>3483</v>
      </c>
      <c r="C74" s="6" t="s">
        <v>3484</v>
      </c>
      <c r="D74" s="6"/>
      <c r="E74" s="6"/>
      <c r="F74" s="5" t="s">
        <v>3382</v>
      </c>
      <c r="G74" s="5"/>
      <c r="H74" s="6" t="s">
        <v>3485</v>
      </c>
      <c r="I74" s="5">
        <v>1199</v>
      </c>
      <c r="J74" s="5">
        <v>3934</v>
      </c>
      <c r="K74" s="7" t="str">
        <f>HYPERLINK("http://www.centcols.org/util/geo/visuGen.php?code=US-CA-1199","US-CA-1199")</f>
        <v>US-CA-1199</v>
      </c>
      <c r="L74" s="8" t="s">
        <v>3486</v>
      </c>
      <c r="M74" s="8" t="s">
        <v>3113</v>
      </c>
      <c r="N74" s="8">
        <v>10</v>
      </c>
      <c r="O74" s="8">
        <v>35</v>
      </c>
      <c r="P74" s="8"/>
      <c r="Q74" s="5">
        <v>-122.776799</v>
      </c>
      <c r="R74" s="5">
        <v>39.1345408</v>
      </c>
      <c r="S74" s="5" t="s">
        <v>3487</v>
      </c>
      <c r="T74" s="5" t="s">
        <v>3488</v>
      </c>
      <c r="U74" s="8"/>
      <c r="V74" s="8"/>
      <c r="W74" s="8" t="s">
        <v>2966</v>
      </c>
      <c r="X74" s="8" t="s">
        <v>3202</v>
      </c>
    </row>
    <row r="75" spans="1:24" ht="11.25">
      <c r="A75" s="5" t="s">
        <v>3489</v>
      </c>
      <c r="B75" s="5" t="s">
        <v>3490</v>
      </c>
      <c r="C75" s="6" t="s">
        <v>3491</v>
      </c>
      <c r="D75" s="6"/>
      <c r="E75" s="6"/>
      <c r="F75" s="5" t="s">
        <v>3382</v>
      </c>
      <c r="G75" s="5"/>
      <c r="H75" s="6" t="s">
        <v>3492</v>
      </c>
      <c r="I75" s="5">
        <v>1286</v>
      </c>
      <c r="J75" s="5">
        <v>4219</v>
      </c>
      <c r="K75" s="7" t="str">
        <f>HYPERLINK("http://www.centcols.org/util/geo/visuGen.php?code=US-CA-1286","US-CA-1286")</f>
        <v>US-CA-1286</v>
      </c>
      <c r="L75" s="8" t="s">
        <v>3493</v>
      </c>
      <c r="M75" s="9" t="s">
        <v>3494</v>
      </c>
      <c r="N75" s="8">
        <v>0</v>
      </c>
      <c r="O75" s="8">
        <v>0</v>
      </c>
      <c r="P75" s="8"/>
      <c r="Q75" s="5">
        <v>-115.7910274</v>
      </c>
      <c r="R75" s="5">
        <v>35.3870806</v>
      </c>
      <c r="S75" s="5" t="s">
        <v>3495</v>
      </c>
      <c r="T75" s="5" t="s">
        <v>3496</v>
      </c>
      <c r="U75" s="8"/>
      <c r="V75" s="8"/>
      <c r="W75" s="8" t="s">
        <v>2966</v>
      </c>
      <c r="X75" s="8" t="s">
        <v>3497</v>
      </c>
    </row>
    <row r="76" spans="1:24" ht="11.25">
      <c r="A76" s="5" t="s">
        <v>3498</v>
      </c>
      <c r="B76" s="5" t="s">
        <v>3499</v>
      </c>
      <c r="C76" s="6" t="s">
        <v>3500</v>
      </c>
      <c r="D76" s="6"/>
      <c r="E76" s="6"/>
      <c r="F76" s="5" t="s">
        <v>3382</v>
      </c>
      <c r="G76" s="5"/>
      <c r="H76" s="6" t="s">
        <v>3492</v>
      </c>
      <c r="I76" s="5">
        <v>1309</v>
      </c>
      <c r="J76" s="5">
        <v>4295</v>
      </c>
      <c r="K76" s="7" t="str">
        <f>HYPERLINK("http://www.centcols.org/util/geo/visuGen.php?code=US-CA-1309a","US-CA-1309a")</f>
        <v>US-CA-1309a</v>
      </c>
      <c r="L76" s="8" t="s">
        <v>3501</v>
      </c>
      <c r="M76" s="8" t="s">
        <v>2988</v>
      </c>
      <c r="N76" s="8">
        <v>10</v>
      </c>
      <c r="O76" s="8">
        <v>35</v>
      </c>
      <c r="P76" s="8"/>
      <c r="Q76" s="5">
        <v>-115.3982876</v>
      </c>
      <c r="R76" s="5">
        <v>35.0438768</v>
      </c>
      <c r="S76" s="5" t="s">
        <v>3502</v>
      </c>
      <c r="T76" s="5" t="s">
        <v>3503</v>
      </c>
      <c r="U76" s="8"/>
      <c r="V76" s="8"/>
      <c r="W76" s="8" t="s">
        <v>2966</v>
      </c>
      <c r="X76" s="8" t="s">
        <v>2967</v>
      </c>
    </row>
    <row r="77" spans="1:24" ht="11.25">
      <c r="A77" s="5" t="s">
        <v>3504</v>
      </c>
      <c r="B77" s="5" t="s">
        <v>3505</v>
      </c>
      <c r="C77" s="6" t="s">
        <v>3506</v>
      </c>
      <c r="D77" s="6"/>
      <c r="E77" s="6"/>
      <c r="F77" s="5" t="s">
        <v>3382</v>
      </c>
      <c r="G77" s="5"/>
      <c r="H77" s="6" t="s">
        <v>3507</v>
      </c>
      <c r="I77" s="5">
        <v>1428</v>
      </c>
      <c r="J77" s="5">
        <v>4685</v>
      </c>
      <c r="K77" s="7" t="str">
        <f>HYPERLINK("http://www.centcols.org/util/geo/visuGen.php?code=US-CA-1428","US-CA-1428")</f>
        <v>US-CA-1428</v>
      </c>
      <c r="L77" s="8" t="s">
        <v>3508</v>
      </c>
      <c r="M77" s="8" t="s">
        <v>3509</v>
      </c>
      <c r="N77" s="8">
        <v>0</v>
      </c>
      <c r="O77" s="8">
        <v>0</v>
      </c>
      <c r="P77" s="8"/>
      <c r="Q77" s="5">
        <v>-121.7172213</v>
      </c>
      <c r="R77" s="5">
        <v>41.7272229</v>
      </c>
      <c r="S77" s="5" t="s">
        <v>3510</v>
      </c>
      <c r="T77" s="5" t="s">
        <v>3511</v>
      </c>
      <c r="U77" s="8"/>
      <c r="V77" s="8"/>
      <c r="W77" s="8" t="s">
        <v>2966</v>
      </c>
      <c r="X77" s="8" t="s">
        <v>3125</v>
      </c>
    </row>
    <row r="78" spans="1:24" ht="11.25">
      <c r="A78" s="5" t="s">
        <v>3512</v>
      </c>
      <c r="B78" s="5" t="s">
        <v>3513</v>
      </c>
      <c r="C78" s="6" t="s">
        <v>3514</v>
      </c>
      <c r="D78" s="6"/>
      <c r="E78" s="6" t="s">
        <v>3515</v>
      </c>
      <c r="F78" s="5" t="s">
        <v>3382</v>
      </c>
      <c r="G78" s="5"/>
      <c r="H78" s="6" t="s">
        <v>3457</v>
      </c>
      <c r="I78" s="5">
        <v>1496</v>
      </c>
      <c r="J78" s="5">
        <v>4908</v>
      </c>
      <c r="K78" s="7" t="str">
        <f>HYPERLINK("http://www.centcols.org/util/geo/visuGen.php?code=US-CA-1496","US-CA-1496")</f>
        <v>US-CA-1496</v>
      </c>
      <c r="L78" s="8" t="s">
        <v>3516</v>
      </c>
      <c r="M78" s="8" t="s">
        <v>3113</v>
      </c>
      <c r="N78" s="8">
        <v>10</v>
      </c>
      <c r="O78" s="8">
        <v>35</v>
      </c>
      <c r="P78" s="8"/>
      <c r="Q78" s="5">
        <v>-123.5821093</v>
      </c>
      <c r="R78" s="5">
        <v>40.4404002</v>
      </c>
      <c r="S78" s="5" t="s">
        <v>3517</v>
      </c>
      <c r="T78" s="5" t="s">
        <v>3518</v>
      </c>
      <c r="U78" s="8"/>
      <c r="V78" s="8"/>
      <c r="W78" s="8" t="s">
        <v>2966</v>
      </c>
      <c r="X78" s="8" t="s">
        <v>2967</v>
      </c>
    </row>
    <row r="79" spans="1:24" ht="11.25">
      <c r="A79" s="5" t="s">
        <v>3519</v>
      </c>
      <c r="B79" s="5" t="s">
        <v>3520</v>
      </c>
      <c r="C79" s="6" t="s">
        <v>3521</v>
      </c>
      <c r="D79" s="6"/>
      <c r="E79" s="6"/>
      <c r="F79" s="5" t="s">
        <v>3382</v>
      </c>
      <c r="G79" s="5"/>
      <c r="H79" s="6" t="s">
        <v>3507</v>
      </c>
      <c r="I79" s="5">
        <v>1670</v>
      </c>
      <c r="J79" s="5">
        <v>5479</v>
      </c>
      <c r="K79" s="7" t="str">
        <f>HYPERLINK("http://www.centcols.org/util/geo/visuGen.php?code=US-CA-1670","US-CA-1670")</f>
        <v>US-CA-1670</v>
      </c>
      <c r="L79" s="8" t="s">
        <v>3508</v>
      </c>
      <c r="M79" s="8" t="s">
        <v>3113</v>
      </c>
      <c r="N79" s="8">
        <v>10</v>
      </c>
      <c r="O79" s="8">
        <v>35</v>
      </c>
      <c r="P79" s="8"/>
      <c r="Q79" s="5">
        <v>-121.6813889</v>
      </c>
      <c r="R79" s="5">
        <v>41.6594305</v>
      </c>
      <c r="S79" s="5" t="s">
        <v>3522</v>
      </c>
      <c r="T79" s="5" t="s">
        <v>3523</v>
      </c>
      <c r="U79" s="8"/>
      <c r="V79" s="8"/>
      <c r="W79" s="8" t="s">
        <v>2966</v>
      </c>
      <c r="X79" s="8" t="s">
        <v>3202</v>
      </c>
    </row>
    <row r="80" spans="1:24" ht="11.25">
      <c r="A80" s="5" t="s">
        <v>3524</v>
      </c>
      <c r="B80" s="5" t="s">
        <v>3525</v>
      </c>
      <c r="C80" s="6" t="s">
        <v>3526</v>
      </c>
      <c r="D80" s="6"/>
      <c r="E80" s="6"/>
      <c r="F80" s="5" t="s">
        <v>3382</v>
      </c>
      <c r="G80" s="5"/>
      <c r="H80" s="6" t="s">
        <v>3507</v>
      </c>
      <c r="I80" s="5">
        <v>1713</v>
      </c>
      <c r="J80" s="5">
        <v>5620</v>
      </c>
      <c r="K80" s="7" t="str">
        <f>HYPERLINK("http://www.centcols.org/util/geo/visuGen.php?code=US-CA-1713","US-CA-1713")</f>
        <v>US-CA-1713</v>
      </c>
      <c r="L80" s="8" t="s">
        <v>3527</v>
      </c>
      <c r="M80" s="8" t="s">
        <v>3113</v>
      </c>
      <c r="N80" s="8">
        <v>10</v>
      </c>
      <c r="O80" s="8">
        <v>35</v>
      </c>
      <c r="P80" s="8"/>
      <c r="Q80" s="5">
        <v>-121.9030292</v>
      </c>
      <c r="R80" s="5">
        <v>41.512561</v>
      </c>
      <c r="S80" s="5" t="s">
        <v>3528</v>
      </c>
      <c r="T80" s="5" t="s">
        <v>3529</v>
      </c>
      <c r="U80" s="8"/>
      <c r="V80" s="8"/>
      <c r="W80" s="8" t="s">
        <v>2966</v>
      </c>
      <c r="X80" s="8" t="s">
        <v>3202</v>
      </c>
    </row>
    <row r="81" spans="1:24" ht="11.25">
      <c r="A81" s="5" t="s">
        <v>3530</v>
      </c>
      <c r="B81" s="5" t="s">
        <v>3531</v>
      </c>
      <c r="C81" s="6" t="s">
        <v>3532</v>
      </c>
      <c r="D81" s="6"/>
      <c r="E81" s="6"/>
      <c r="F81" s="5" t="s">
        <v>3382</v>
      </c>
      <c r="G81" s="5"/>
      <c r="H81" s="6" t="s">
        <v>3533</v>
      </c>
      <c r="I81" s="5">
        <v>1894</v>
      </c>
      <c r="J81" s="5">
        <v>6214</v>
      </c>
      <c r="K81" s="7" t="str">
        <f>HYPERLINK("http://www.centcols.org/util/geo/visuGen.php?code=US-CA-1894","US-CA-1894")</f>
        <v>US-CA-1894</v>
      </c>
      <c r="L81" s="8" t="s">
        <v>3534</v>
      </c>
      <c r="M81" s="8" t="s">
        <v>2962</v>
      </c>
      <c r="N81" s="8">
        <v>20</v>
      </c>
      <c r="O81" s="8">
        <v>99</v>
      </c>
      <c r="P81" s="8"/>
      <c r="Q81" s="5">
        <v>-122.5436091</v>
      </c>
      <c r="R81" s="5">
        <v>41.1716705</v>
      </c>
      <c r="S81" s="5" t="s">
        <v>3535</v>
      </c>
      <c r="T81" s="5" t="s">
        <v>3536</v>
      </c>
      <c r="U81" s="8"/>
      <c r="V81" s="8"/>
      <c r="W81" s="8" t="s">
        <v>2966</v>
      </c>
      <c r="X81" s="8" t="s">
        <v>2967</v>
      </c>
    </row>
    <row r="82" spans="1:24" ht="11.25">
      <c r="A82" s="5" t="s">
        <v>3537</v>
      </c>
      <c r="B82" s="5" t="s">
        <v>3538</v>
      </c>
      <c r="C82" s="6" t="s">
        <v>3539</v>
      </c>
      <c r="D82" s="6"/>
      <c r="E82" s="6"/>
      <c r="F82" s="5" t="s">
        <v>3382</v>
      </c>
      <c r="G82" s="5"/>
      <c r="H82" s="6" t="s">
        <v>3492</v>
      </c>
      <c r="I82" s="5">
        <v>2361</v>
      </c>
      <c r="J82" s="5">
        <v>7746</v>
      </c>
      <c r="K82" s="7" t="str">
        <f>HYPERLINK("http://www.centcols.org/util/geo/visuGen.php?code=US-CA-2361","US-CA-2361")</f>
        <v>US-CA-2361</v>
      </c>
      <c r="L82" s="8" t="s">
        <v>3540</v>
      </c>
      <c r="M82" s="8" t="s">
        <v>3222</v>
      </c>
      <c r="N82" s="8">
        <v>15</v>
      </c>
      <c r="O82" s="8">
        <v>99</v>
      </c>
      <c r="P82" s="8" t="s">
        <v>3338</v>
      </c>
      <c r="Q82" s="5">
        <v>-116.798849</v>
      </c>
      <c r="R82" s="5">
        <v>34.0683708</v>
      </c>
      <c r="S82" s="5" t="s">
        <v>3541</v>
      </c>
      <c r="T82" s="5" t="s">
        <v>3542</v>
      </c>
      <c r="U82" s="8"/>
      <c r="V82" s="8" t="s">
        <v>3543</v>
      </c>
      <c r="W82" s="8" t="s">
        <v>2966</v>
      </c>
      <c r="X82" s="8" t="s">
        <v>2967</v>
      </c>
    </row>
    <row r="83" spans="1:24" ht="11.25">
      <c r="A83" s="5" t="s">
        <v>3544</v>
      </c>
      <c r="B83" s="5" t="s">
        <v>3545</v>
      </c>
      <c r="C83" s="6" t="s">
        <v>3546</v>
      </c>
      <c r="D83" s="6"/>
      <c r="E83" s="6"/>
      <c r="F83" s="5" t="s">
        <v>3382</v>
      </c>
      <c r="G83" s="5"/>
      <c r="H83" s="6" t="s">
        <v>3547</v>
      </c>
      <c r="I83" s="5">
        <v>2401</v>
      </c>
      <c r="J83" s="5">
        <v>7877</v>
      </c>
      <c r="K83" s="7" t="str">
        <f>HYPERLINK("http://www.centcols.org/util/geo/visuGen.php?code=US-CA-2401","US-CA-2401")</f>
        <v>US-CA-2401</v>
      </c>
      <c r="L83" s="8" t="s">
        <v>3548</v>
      </c>
      <c r="M83" s="8" t="s">
        <v>2962</v>
      </c>
      <c r="N83" s="8">
        <v>20</v>
      </c>
      <c r="O83" s="8">
        <v>99</v>
      </c>
      <c r="P83" s="8"/>
      <c r="Q83" s="5">
        <v>-120.4405593</v>
      </c>
      <c r="R83" s="5">
        <v>39.481391</v>
      </c>
      <c r="S83" s="5" t="s">
        <v>3549</v>
      </c>
      <c r="T83" s="5" t="s">
        <v>3550</v>
      </c>
      <c r="U83" s="8"/>
      <c r="V83" s="8"/>
      <c r="W83" s="8" t="s">
        <v>2966</v>
      </c>
      <c r="X83" s="8" t="s">
        <v>3085</v>
      </c>
    </row>
    <row r="84" spans="1:24" ht="11.25">
      <c r="A84" s="5" t="s">
        <v>3551</v>
      </c>
      <c r="B84" s="5" t="s">
        <v>3552</v>
      </c>
      <c r="C84" s="6" t="s">
        <v>3553</v>
      </c>
      <c r="D84" s="6"/>
      <c r="E84" s="6"/>
      <c r="F84" s="5" t="s">
        <v>3382</v>
      </c>
      <c r="G84" s="5"/>
      <c r="H84" s="6" t="s">
        <v>3492</v>
      </c>
      <c r="I84" s="5">
        <v>2577</v>
      </c>
      <c r="J84" s="5">
        <v>8455</v>
      </c>
      <c r="K84" s="7" t="str">
        <f>HYPERLINK("http://www.centcols.org/util/geo/visuGen.php?code=US-CA-2577","US-CA-2577")</f>
        <v>US-CA-2577</v>
      </c>
      <c r="L84" s="8" t="s">
        <v>3540</v>
      </c>
      <c r="M84" s="8" t="s">
        <v>2962</v>
      </c>
      <c r="N84" s="8">
        <v>20</v>
      </c>
      <c r="O84" s="8">
        <v>99</v>
      </c>
      <c r="P84" s="8" t="s">
        <v>3338</v>
      </c>
      <c r="Q84" s="5">
        <v>-116.8427589</v>
      </c>
      <c r="R84" s="5">
        <v>34.0762305</v>
      </c>
      <c r="S84" s="5" t="s">
        <v>3554</v>
      </c>
      <c r="T84" s="5" t="s">
        <v>3555</v>
      </c>
      <c r="U84" s="8"/>
      <c r="V84" s="8" t="s">
        <v>3543</v>
      </c>
      <c r="W84" s="8" t="s">
        <v>2966</v>
      </c>
      <c r="X84" s="8" t="s">
        <v>2967</v>
      </c>
    </row>
    <row r="85" spans="1:24" ht="11.25">
      <c r="A85" s="5" t="s">
        <v>3556</v>
      </c>
      <c r="B85" s="5" t="s">
        <v>3557</v>
      </c>
      <c r="C85" s="6" t="s">
        <v>3558</v>
      </c>
      <c r="D85" s="6"/>
      <c r="E85" s="6"/>
      <c r="F85" s="5" t="s">
        <v>3382</v>
      </c>
      <c r="G85" s="5"/>
      <c r="H85" s="6" t="s">
        <v>3441</v>
      </c>
      <c r="I85" s="5">
        <v>2960</v>
      </c>
      <c r="J85" s="5">
        <v>9711</v>
      </c>
      <c r="K85" s="7" t="str">
        <f>HYPERLINK("http://www.centcols.org/util/geo/visuGen.php?code=US-CA-2960","US-CA-2960")</f>
        <v>US-CA-2960</v>
      </c>
      <c r="L85" s="8" t="s">
        <v>3559</v>
      </c>
      <c r="M85" s="8" t="s">
        <v>3222</v>
      </c>
      <c r="N85" s="8">
        <v>15</v>
      </c>
      <c r="O85" s="8">
        <v>99</v>
      </c>
      <c r="P85" s="8"/>
      <c r="Q85" s="5">
        <v>-116.6743591</v>
      </c>
      <c r="R85" s="5">
        <v>33.7993811</v>
      </c>
      <c r="S85" s="5" t="s">
        <v>3560</v>
      </c>
      <c r="T85" s="5" t="s">
        <v>3561</v>
      </c>
      <c r="U85" s="8"/>
      <c r="V85" s="8"/>
      <c r="W85" s="8" t="s">
        <v>2966</v>
      </c>
      <c r="X85" s="8" t="s">
        <v>3202</v>
      </c>
    </row>
    <row r="86" spans="1:24" ht="11.25">
      <c r="A86" s="5" t="s">
        <v>3562</v>
      </c>
      <c r="B86" s="5" t="s">
        <v>3563</v>
      </c>
      <c r="C86" s="6" t="s">
        <v>3564</v>
      </c>
      <c r="D86" s="6"/>
      <c r="E86" s="6"/>
      <c r="F86" s="5" t="s">
        <v>3382</v>
      </c>
      <c r="G86" s="5"/>
      <c r="H86" s="6" t="s">
        <v>3565</v>
      </c>
      <c r="I86" s="5">
        <v>3380</v>
      </c>
      <c r="J86" s="5">
        <v>11089</v>
      </c>
      <c r="K86" s="7" t="str">
        <f>HYPERLINK("http://www.centcols.org/util/geo/visuGen.php?code=US-CA-3380","US-CA-3380")</f>
        <v>US-CA-3380</v>
      </c>
      <c r="L86" s="8" t="s">
        <v>3566</v>
      </c>
      <c r="M86" s="8"/>
      <c r="N86" s="8">
        <v>15</v>
      </c>
      <c r="O86" s="8">
        <v>99</v>
      </c>
      <c r="P86" s="8" t="s">
        <v>3338</v>
      </c>
      <c r="Q86" s="5">
        <v>-119.2075</v>
      </c>
      <c r="R86" s="5">
        <v>37.838611</v>
      </c>
      <c r="S86" s="5" t="s">
        <v>3567</v>
      </c>
      <c r="T86" s="5" t="s">
        <v>3568</v>
      </c>
      <c r="U86" s="8"/>
      <c r="V86" s="8" t="s">
        <v>3569</v>
      </c>
      <c r="W86" s="8" t="s">
        <v>2966</v>
      </c>
      <c r="X86" s="8" t="s">
        <v>3011</v>
      </c>
    </row>
    <row r="87" spans="1:24" ht="11.25">
      <c r="A87" s="5" t="s">
        <v>3570</v>
      </c>
      <c r="B87" s="5" t="s">
        <v>3571</v>
      </c>
      <c r="C87" s="6" t="s">
        <v>3572</v>
      </c>
      <c r="D87" s="6"/>
      <c r="E87" s="6"/>
      <c r="F87" s="5" t="s">
        <v>3382</v>
      </c>
      <c r="G87" s="5"/>
      <c r="H87" s="6" t="s">
        <v>3573</v>
      </c>
      <c r="I87" s="5">
        <v>3822</v>
      </c>
      <c r="J87" s="5">
        <v>12539</v>
      </c>
      <c r="K87" s="7" t="str">
        <f>HYPERLINK("http://www.centcols.org/util/geo/visuGen.php?code=US-CA-3822","US-CA-3822")</f>
        <v>US-CA-3822</v>
      </c>
      <c r="L87" s="8" t="s">
        <v>3574</v>
      </c>
      <c r="M87" s="8" t="s">
        <v>2962</v>
      </c>
      <c r="N87" s="8">
        <v>20</v>
      </c>
      <c r="O87" s="8">
        <v>99</v>
      </c>
      <c r="P87" s="8" t="s">
        <v>3338</v>
      </c>
      <c r="Q87" s="5">
        <v>-118.6880292</v>
      </c>
      <c r="R87" s="5">
        <v>37.2146102</v>
      </c>
      <c r="S87" s="5" t="s">
        <v>3575</v>
      </c>
      <c r="T87" s="5" t="s">
        <v>3576</v>
      </c>
      <c r="U87" s="8"/>
      <c r="V87" s="8" t="s">
        <v>3577</v>
      </c>
      <c r="W87" s="8" t="s">
        <v>2966</v>
      </c>
      <c r="X87" s="8" t="s">
        <v>2967</v>
      </c>
    </row>
    <row r="88" spans="1:24" ht="11.25">
      <c r="A88" s="5" t="s">
        <v>3578</v>
      </c>
      <c r="B88" s="5" t="s">
        <v>3579</v>
      </c>
      <c r="C88" s="6" t="s">
        <v>3580</v>
      </c>
      <c r="D88" s="6"/>
      <c r="E88" s="6"/>
      <c r="F88" s="5" t="s">
        <v>3382</v>
      </c>
      <c r="G88" s="5"/>
      <c r="H88" s="6" t="s">
        <v>3581</v>
      </c>
      <c r="I88" s="5">
        <v>4166</v>
      </c>
      <c r="J88" s="5">
        <v>13668</v>
      </c>
      <c r="K88" s="7" t="str">
        <f>HYPERLINK("http://www.centcols.org/util/geo/visuGen.php?code=US-CA-4166","US-CA-4166")</f>
        <v>US-CA-4166</v>
      </c>
      <c r="L88" s="8" t="s">
        <v>3582</v>
      </c>
      <c r="M88" s="8" t="s">
        <v>3222</v>
      </c>
      <c r="N88" s="8">
        <v>15</v>
      </c>
      <c r="O88" s="8">
        <v>99</v>
      </c>
      <c r="P88" s="8" t="s">
        <v>3338</v>
      </c>
      <c r="Q88" s="5">
        <v>-118.2912695</v>
      </c>
      <c r="R88" s="5">
        <v>36.5589907</v>
      </c>
      <c r="S88" s="5" t="s">
        <v>3583</v>
      </c>
      <c r="T88" s="5" t="s">
        <v>3584</v>
      </c>
      <c r="U88" s="8"/>
      <c r="V88" s="8" t="s">
        <v>3577</v>
      </c>
      <c r="W88" s="8" t="s">
        <v>2966</v>
      </c>
      <c r="X88" s="8" t="s">
        <v>2967</v>
      </c>
    </row>
    <row r="89" spans="1:24" ht="11.25">
      <c r="A89" s="5" t="s">
        <v>3585</v>
      </c>
      <c r="B89" s="5" t="s">
        <v>3586</v>
      </c>
      <c r="C89" s="6" t="s">
        <v>3587</v>
      </c>
      <c r="D89" s="6"/>
      <c r="E89" s="6"/>
      <c r="F89" s="5" t="s">
        <v>3588</v>
      </c>
      <c r="G89" s="5"/>
      <c r="H89" s="6" t="s">
        <v>3589</v>
      </c>
      <c r="I89" s="5">
        <v>1347</v>
      </c>
      <c r="J89" s="5">
        <v>4419</v>
      </c>
      <c r="K89" s="7" t="str">
        <f>HYPERLINK("http://www.centcols.org/util/geo/visuGen.php?code=US-CO-1347","US-CO-1347")</f>
        <v>US-CO-1347</v>
      </c>
      <c r="L89" s="8" t="s">
        <v>3590</v>
      </c>
      <c r="M89" s="9" t="s">
        <v>3591</v>
      </c>
      <c r="N89" s="8">
        <v>0</v>
      </c>
      <c r="O89" s="8">
        <v>0</v>
      </c>
      <c r="P89" s="8"/>
      <c r="Q89" s="5">
        <v>-103.4889689</v>
      </c>
      <c r="R89" s="5">
        <v>40.6292006</v>
      </c>
      <c r="S89" s="5" t="s">
        <v>3592</v>
      </c>
      <c r="T89" s="5" t="s">
        <v>3593</v>
      </c>
      <c r="U89" s="8"/>
      <c r="V89" s="8"/>
      <c r="W89" s="8" t="s">
        <v>2966</v>
      </c>
      <c r="X89" s="8" t="s">
        <v>3202</v>
      </c>
    </row>
    <row r="90" spans="1:24" ht="11.25">
      <c r="A90" s="5" t="s">
        <v>3594</v>
      </c>
      <c r="B90" s="5" t="s">
        <v>3595</v>
      </c>
      <c r="C90" s="6" t="s">
        <v>3596</v>
      </c>
      <c r="D90" s="6"/>
      <c r="E90" s="6"/>
      <c r="F90" s="5" t="s">
        <v>3588</v>
      </c>
      <c r="G90" s="5"/>
      <c r="H90" s="6" t="s">
        <v>3589</v>
      </c>
      <c r="I90" s="5">
        <v>1350</v>
      </c>
      <c r="J90" s="5">
        <v>4429</v>
      </c>
      <c r="K90" s="7" t="str">
        <f>HYPERLINK("http://www.centcols.org/util/geo/visuGen.php?code=US-CO-1350","US-CO-1350")</f>
        <v>US-CO-1350</v>
      </c>
      <c r="L90" s="8" t="s">
        <v>3597</v>
      </c>
      <c r="M90" s="9" t="s">
        <v>3598</v>
      </c>
      <c r="N90" s="8">
        <v>0</v>
      </c>
      <c r="O90" s="8">
        <v>0</v>
      </c>
      <c r="P90" s="8"/>
      <c r="Q90" s="5">
        <v>-103.4867489</v>
      </c>
      <c r="R90" s="5">
        <v>40.6213711</v>
      </c>
      <c r="S90" s="5" t="s">
        <v>3599</v>
      </c>
      <c r="T90" s="5" t="s">
        <v>3600</v>
      </c>
      <c r="U90" s="8"/>
      <c r="V90" s="8"/>
      <c r="W90" s="8" t="s">
        <v>2966</v>
      </c>
      <c r="X90" s="8" t="s">
        <v>3202</v>
      </c>
    </row>
    <row r="91" spans="1:24" ht="11.25">
      <c r="A91" s="5" t="s">
        <v>3601</v>
      </c>
      <c r="B91" s="5" t="s">
        <v>3602</v>
      </c>
      <c r="C91" s="6" t="s">
        <v>3603</v>
      </c>
      <c r="D91" s="6"/>
      <c r="E91" s="6"/>
      <c r="F91" s="5" t="s">
        <v>3588</v>
      </c>
      <c r="G91" s="5"/>
      <c r="H91" s="6" t="s">
        <v>3604</v>
      </c>
      <c r="I91" s="5">
        <v>1466</v>
      </c>
      <c r="J91" s="5">
        <v>4810</v>
      </c>
      <c r="K91" s="7" t="str">
        <f>HYPERLINK("http://www.centcols.org/util/geo/visuGen.php?code=US-CO-1466","US-CO-1466")</f>
        <v>US-CO-1466</v>
      </c>
      <c r="L91" s="8" t="s">
        <v>3605</v>
      </c>
      <c r="M91" s="8" t="s">
        <v>2988</v>
      </c>
      <c r="N91" s="8">
        <v>10</v>
      </c>
      <c r="O91" s="8">
        <v>35</v>
      </c>
      <c r="P91" s="8"/>
      <c r="Q91" s="5">
        <v>-103.6465189</v>
      </c>
      <c r="R91" s="5">
        <v>37.746991</v>
      </c>
      <c r="S91" s="5" t="s">
        <v>3606</v>
      </c>
      <c r="T91" s="5" t="s">
        <v>3607</v>
      </c>
      <c r="U91" s="8"/>
      <c r="V91" s="8"/>
      <c r="W91" s="8" t="s">
        <v>2966</v>
      </c>
      <c r="X91" s="8" t="s">
        <v>3202</v>
      </c>
    </row>
    <row r="92" spans="1:24" ht="11.25">
      <c r="A92" s="5" t="s">
        <v>3608</v>
      </c>
      <c r="B92" s="5" t="s">
        <v>3609</v>
      </c>
      <c r="C92" s="6" t="s">
        <v>3610</v>
      </c>
      <c r="D92" s="6"/>
      <c r="E92" s="6"/>
      <c r="F92" s="5" t="s">
        <v>3588</v>
      </c>
      <c r="G92" s="5"/>
      <c r="H92" s="6" t="s">
        <v>3611</v>
      </c>
      <c r="I92" s="5">
        <v>1539</v>
      </c>
      <c r="J92" s="5">
        <v>5049</v>
      </c>
      <c r="K92" s="7" t="str">
        <f>HYPERLINK("http://www.centcols.org/util/geo/visuGen.php?code=US-CO-1539","US-CO-1539")</f>
        <v>US-CO-1539</v>
      </c>
      <c r="L92" s="8" t="s">
        <v>3612</v>
      </c>
      <c r="M92" s="8" t="s">
        <v>3113</v>
      </c>
      <c r="N92" s="8">
        <v>10</v>
      </c>
      <c r="O92" s="8">
        <v>35</v>
      </c>
      <c r="P92" s="8"/>
      <c r="Q92" s="5">
        <v>-103.5211291</v>
      </c>
      <c r="R92" s="5">
        <v>37.5183605</v>
      </c>
      <c r="S92" s="5" t="s">
        <v>3613</v>
      </c>
      <c r="T92" s="5" t="s">
        <v>3614</v>
      </c>
      <c r="U92" s="8"/>
      <c r="V92" s="8"/>
      <c r="W92" s="8" t="s">
        <v>2966</v>
      </c>
      <c r="X92" s="8" t="s">
        <v>2967</v>
      </c>
    </row>
    <row r="93" spans="1:24" ht="11.25">
      <c r="A93" s="5" t="s">
        <v>3615</v>
      </c>
      <c r="B93" s="5" t="s">
        <v>3616</v>
      </c>
      <c r="C93" s="6" t="s">
        <v>3617</v>
      </c>
      <c r="D93" s="6"/>
      <c r="E93" s="6"/>
      <c r="F93" s="5" t="s">
        <v>3588</v>
      </c>
      <c r="G93" s="5"/>
      <c r="H93" s="6" t="s">
        <v>3618</v>
      </c>
      <c r="I93" s="5">
        <v>1844</v>
      </c>
      <c r="J93" s="5">
        <v>6050</v>
      </c>
      <c r="K93" s="7" t="str">
        <f>HYPERLINK("http://www.centcols.org/util/geo/visuGen.php?code=US-CO-1844","US-CO-1844")</f>
        <v>US-CO-1844</v>
      </c>
      <c r="L93" s="8" t="s">
        <v>3619</v>
      </c>
      <c r="M93" s="8" t="s">
        <v>3113</v>
      </c>
      <c r="N93" s="8">
        <v>10</v>
      </c>
      <c r="O93" s="8">
        <v>35</v>
      </c>
      <c r="P93" s="8"/>
      <c r="Q93" s="5">
        <v>-108.1844093</v>
      </c>
      <c r="R93" s="5">
        <v>40.7116411</v>
      </c>
      <c r="S93" s="5" t="s">
        <v>3620</v>
      </c>
      <c r="T93" s="5" t="s">
        <v>3621</v>
      </c>
      <c r="U93" s="8" t="s">
        <v>3622</v>
      </c>
      <c r="V93" s="8"/>
      <c r="W93" s="8" t="s">
        <v>2966</v>
      </c>
      <c r="X93" s="8" t="s">
        <v>2967</v>
      </c>
    </row>
    <row r="94" spans="1:24" ht="11.25">
      <c r="A94" s="5" t="s">
        <v>3623</v>
      </c>
      <c r="B94" s="5" t="s">
        <v>3624</v>
      </c>
      <c r="C94" s="6" t="s">
        <v>3625</v>
      </c>
      <c r="D94" s="6"/>
      <c r="E94" s="6"/>
      <c r="F94" s="5" t="s">
        <v>3588</v>
      </c>
      <c r="G94" s="5"/>
      <c r="H94" s="6" t="s">
        <v>3626</v>
      </c>
      <c r="I94" s="5">
        <v>1890</v>
      </c>
      <c r="J94" s="5">
        <v>6201</v>
      </c>
      <c r="K94" s="7" t="str">
        <f>HYPERLINK("http://www.centcols.org/util/geo/visuGen.php?code=US-CO-1890","US-CO-1890")</f>
        <v>US-CO-1890</v>
      </c>
      <c r="L94" s="8" t="s">
        <v>3627</v>
      </c>
      <c r="M94" s="8" t="s">
        <v>3113</v>
      </c>
      <c r="N94" s="8">
        <v>10</v>
      </c>
      <c r="O94" s="8">
        <v>35</v>
      </c>
      <c r="P94" s="8"/>
      <c r="Q94" s="5">
        <v>-108.2901893</v>
      </c>
      <c r="R94" s="5">
        <v>39.8849007</v>
      </c>
      <c r="S94" s="5" t="s">
        <v>3628</v>
      </c>
      <c r="T94" s="5" t="s">
        <v>3629</v>
      </c>
      <c r="U94" s="8"/>
      <c r="V94" s="8"/>
      <c r="W94" s="8" t="s">
        <v>2966</v>
      </c>
      <c r="X94" s="8" t="s">
        <v>3202</v>
      </c>
    </row>
    <row r="95" spans="1:24" ht="33.75">
      <c r="A95" s="5" t="s">
        <v>3630</v>
      </c>
      <c r="B95" s="5" t="s">
        <v>3631</v>
      </c>
      <c r="C95" s="6" t="s">
        <v>3632</v>
      </c>
      <c r="D95" s="6"/>
      <c r="E95" s="6"/>
      <c r="F95" s="5" t="s">
        <v>3588</v>
      </c>
      <c r="G95" s="5"/>
      <c r="H95" s="6" t="s">
        <v>3633</v>
      </c>
      <c r="I95" s="5">
        <v>1891</v>
      </c>
      <c r="J95" s="5">
        <v>6204</v>
      </c>
      <c r="K95" s="7" t="str">
        <f>HYPERLINK("http://www.centcols.org/util/geo/visuGen.php?code=US-CO-1891","US-CO-1891")</f>
        <v>US-CO-1891</v>
      </c>
      <c r="L95" s="8" t="s">
        <v>3634</v>
      </c>
      <c r="M95" s="8" t="s">
        <v>2988</v>
      </c>
      <c r="N95" s="8">
        <v>10</v>
      </c>
      <c r="O95" s="8">
        <v>35</v>
      </c>
      <c r="P95" s="8"/>
      <c r="Q95" s="5">
        <v>-105.284203</v>
      </c>
      <c r="R95" s="5">
        <v>39.9785054</v>
      </c>
      <c r="S95" s="5" t="s">
        <v>3635</v>
      </c>
      <c r="T95" s="5" t="s">
        <v>3636</v>
      </c>
      <c r="U95" s="9" t="s">
        <v>3637</v>
      </c>
      <c r="V95" s="8"/>
      <c r="W95" s="8" t="s">
        <v>2966</v>
      </c>
      <c r="X95" s="8" t="s">
        <v>3638</v>
      </c>
    </row>
    <row r="96" spans="1:24" ht="11.25">
      <c r="A96" s="5" t="s">
        <v>3639</v>
      </c>
      <c r="B96" s="5" t="s">
        <v>3640</v>
      </c>
      <c r="C96" s="6" t="s">
        <v>3641</v>
      </c>
      <c r="D96" s="6"/>
      <c r="E96" s="6"/>
      <c r="F96" s="5" t="s">
        <v>3588</v>
      </c>
      <c r="G96" s="5"/>
      <c r="H96" s="6" t="s">
        <v>3642</v>
      </c>
      <c r="I96" s="5">
        <v>1922</v>
      </c>
      <c r="J96" s="5">
        <v>6306</v>
      </c>
      <c r="K96" s="7" t="str">
        <f>HYPERLINK("http://www.centcols.org/util/geo/visuGen.php?code=US-CO-1922","US-CO-1922")</f>
        <v>US-CO-1922</v>
      </c>
      <c r="L96" s="8" t="s">
        <v>3643</v>
      </c>
      <c r="M96" s="8" t="s">
        <v>3644</v>
      </c>
      <c r="N96" s="8">
        <v>20</v>
      </c>
      <c r="O96" s="8">
        <v>99</v>
      </c>
      <c r="P96" s="8"/>
      <c r="Q96" s="5">
        <v>-105.3519435</v>
      </c>
      <c r="R96" s="5">
        <v>38.3758337</v>
      </c>
      <c r="S96" s="5" t="s">
        <v>3645</v>
      </c>
      <c r="T96" s="5" t="s">
        <v>3646</v>
      </c>
      <c r="U96" s="8"/>
      <c r="V96" s="8"/>
      <c r="W96" s="8" t="s">
        <v>2966</v>
      </c>
      <c r="X96" s="8" t="s">
        <v>2991</v>
      </c>
    </row>
    <row r="97" spans="1:24" ht="11.25">
      <c r="A97" s="5" t="s">
        <v>3647</v>
      </c>
      <c r="B97" s="5" t="s">
        <v>3648</v>
      </c>
      <c r="C97" s="6" t="s">
        <v>3649</v>
      </c>
      <c r="D97" s="6"/>
      <c r="E97" s="6"/>
      <c r="F97" s="5" t="s">
        <v>3588</v>
      </c>
      <c r="G97" s="5"/>
      <c r="H97" s="6" t="s">
        <v>3618</v>
      </c>
      <c r="I97" s="5">
        <v>2046</v>
      </c>
      <c r="J97" s="5">
        <v>6713</v>
      </c>
      <c r="K97" s="7" t="str">
        <f>HYPERLINK("http://www.centcols.org/util/geo/visuGen.php?code=US-CO-2046","US-CO-2046")</f>
        <v>US-CO-2046</v>
      </c>
      <c r="L97" s="8" t="s">
        <v>3650</v>
      </c>
      <c r="M97" s="9" t="s">
        <v>3651</v>
      </c>
      <c r="N97" s="8">
        <v>0</v>
      </c>
      <c r="O97" s="8">
        <v>0</v>
      </c>
      <c r="P97" s="8"/>
      <c r="Q97" s="5">
        <v>-107.6797492</v>
      </c>
      <c r="R97" s="5">
        <v>40.521501</v>
      </c>
      <c r="S97" s="5" t="s">
        <v>3652</v>
      </c>
      <c r="T97" s="5" t="s">
        <v>3653</v>
      </c>
      <c r="U97" s="8"/>
      <c r="V97" s="8"/>
      <c r="W97" s="8" t="s">
        <v>2966</v>
      </c>
      <c r="X97" s="8" t="s">
        <v>3202</v>
      </c>
    </row>
    <row r="98" spans="1:24" ht="11.25">
      <c r="A98" s="5" t="s">
        <v>3654</v>
      </c>
      <c r="B98" s="5" t="s">
        <v>3655</v>
      </c>
      <c r="C98" s="6" t="s">
        <v>3656</v>
      </c>
      <c r="D98" s="6"/>
      <c r="E98" s="6"/>
      <c r="F98" s="5" t="s">
        <v>3588</v>
      </c>
      <c r="G98" s="5"/>
      <c r="H98" s="6" t="s">
        <v>3618</v>
      </c>
      <c r="I98" s="5">
        <v>2046</v>
      </c>
      <c r="J98" s="5">
        <v>6713</v>
      </c>
      <c r="K98" s="7" t="str">
        <f>HYPERLINK("http://www.centcols.org/util/geo/visuGen.php?code=US-CO-2046a","US-CO-2046a")</f>
        <v>US-CO-2046a</v>
      </c>
      <c r="L98" s="8" t="s">
        <v>3657</v>
      </c>
      <c r="M98" s="8" t="s">
        <v>3113</v>
      </c>
      <c r="N98" s="8">
        <v>10</v>
      </c>
      <c r="O98" s="8">
        <v>35</v>
      </c>
      <c r="P98" s="8"/>
      <c r="Q98" s="5">
        <v>-108.6437095</v>
      </c>
      <c r="R98" s="5">
        <v>40.5760707</v>
      </c>
      <c r="S98" s="5" t="s">
        <v>3658</v>
      </c>
      <c r="T98" s="5" t="s">
        <v>3659</v>
      </c>
      <c r="U98" s="8"/>
      <c r="V98" s="8"/>
      <c r="W98" s="8" t="s">
        <v>2966</v>
      </c>
      <c r="X98" s="8" t="s">
        <v>2967</v>
      </c>
    </row>
    <row r="99" spans="1:24" ht="11.25">
      <c r="A99" s="5" t="s">
        <v>3660</v>
      </c>
      <c r="B99" s="5" t="s">
        <v>3661</v>
      </c>
      <c r="C99" s="6" t="s">
        <v>3662</v>
      </c>
      <c r="D99" s="6"/>
      <c r="E99" s="6"/>
      <c r="F99" s="5" t="s">
        <v>3588</v>
      </c>
      <c r="G99" s="5"/>
      <c r="H99" s="6" t="s">
        <v>2995</v>
      </c>
      <c r="I99" s="5">
        <v>2085</v>
      </c>
      <c r="J99" s="5">
        <v>6840</v>
      </c>
      <c r="K99" s="7" t="str">
        <f>HYPERLINK("http://www.centcols.org/util/geo/visuGen.php?code=US-CO-2085","US-CO-2085")</f>
        <v>US-CO-2085</v>
      </c>
      <c r="L99" s="8" t="s">
        <v>3634</v>
      </c>
      <c r="M99" s="8" t="s">
        <v>2962</v>
      </c>
      <c r="N99" s="8">
        <v>20</v>
      </c>
      <c r="O99" s="8">
        <v>99</v>
      </c>
      <c r="P99" s="8"/>
      <c r="Q99" s="5">
        <v>-105.2781893</v>
      </c>
      <c r="R99" s="5">
        <v>39.897721</v>
      </c>
      <c r="S99" s="5" t="s">
        <v>3663</v>
      </c>
      <c r="T99" s="5" t="s">
        <v>3664</v>
      </c>
      <c r="U99" s="8"/>
      <c r="V99" s="8"/>
      <c r="W99" s="8" t="s">
        <v>2966</v>
      </c>
      <c r="X99" s="8" t="s">
        <v>3202</v>
      </c>
    </row>
    <row r="100" spans="1:24" ht="11.25">
      <c r="A100" s="5" t="s">
        <v>3665</v>
      </c>
      <c r="B100" s="5" t="s">
        <v>3666</v>
      </c>
      <c r="C100" s="6" t="s">
        <v>3667</v>
      </c>
      <c r="D100" s="6"/>
      <c r="E100" s="6"/>
      <c r="F100" s="5" t="s">
        <v>3588</v>
      </c>
      <c r="G100" s="5"/>
      <c r="H100" s="6" t="s">
        <v>3668</v>
      </c>
      <c r="I100" s="5">
        <v>2090</v>
      </c>
      <c r="J100" s="5">
        <v>6857</v>
      </c>
      <c r="K100" s="7" t="str">
        <f>HYPERLINK("http://www.centcols.org/util/geo/visuGen.php?code=US-CO-2090","US-CO-2090")</f>
        <v>US-CO-2090</v>
      </c>
      <c r="L100" s="8" t="s">
        <v>3669</v>
      </c>
      <c r="M100" s="9" t="s">
        <v>3670</v>
      </c>
      <c r="N100" s="8">
        <v>10</v>
      </c>
      <c r="O100" s="8">
        <v>35</v>
      </c>
      <c r="P100" s="8"/>
      <c r="Q100" s="5">
        <v>-104.8750301</v>
      </c>
      <c r="R100" s="5">
        <v>38.9176463</v>
      </c>
      <c r="S100" s="5" t="s">
        <v>3671</v>
      </c>
      <c r="T100" s="5" t="s">
        <v>3672</v>
      </c>
      <c r="U100" s="8"/>
      <c r="V100" s="8"/>
      <c r="W100" s="8" t="s">
        <v>2966</v>
      </c>
      <c r="X100" s="8" t="s">
        <v>3673</v>
      </c>
    </row>
    <row r="101" spans="1:24" ht="11.25">
      <c r="A101" s="5" t="s">
        <v>3674</v>
      </c>
      <c r="B101" s="5" t="s">
        <v>3675</v>
      </c>
      <c r="C101" s="6" t="s">
        <v>3676</v>
      </c>
      <c r="D101" s="6"/>
      <c r="E101" s="6"/>
      <c r="F101" s="5" t="s">
        <v>3588</v>
      </c>
      <c r="G101" s="5"/>
      <c r="H101" s="6" t="s">
        <v>3677</v>
      </c>
      <c r="I101" s="5">
        <v>2092</v>
      </c>
      <c r="J101" s="5">
        <v>6863</v>
      </c>
      <c r="K101" s="7" t="str">
        <f>HYPERLINK("http://www.centcols.org/util/geo/visuGen.php?code=US-CO-2092","US-CO-2092")</f>
        <v>US-CO-2092</v>
      </c>
      <c r="L101" s="8" t="s">
        <v>3678</v>
      </c>
      <c r="M101" s="8" t="s">
        <v>3113</v>
      </c>
      <c r="N101" s="8">
        <v>10</v>
      </c>
      <c r="O101" s="8">
        <v>35</v>
      </c>
      <c r="P101" s="8"/>
      <c r="Q101" s="5">
        <v>-108.2317488</v>
      </c>
      <c r="R101" s="5">
        <v>38.5430106</v>
      </c>
      <c r="S101" s="5" t="s">
        <v>3679</v>
      </c>
      <c r="T101" s="5" t="s">
        <v>3680</v>
      </c>
      <c r="U101" s="8"/>
      <c r="V101" s="8"/>
      <c r="W101" s="8" t="s">
        <v>2966</v>
      </c>
      <c r="X101" s="8" t="s">
        <v>3202</v>
      </c>
    </row>
    <row r="102" spans="1:24" ht="11.25">
      <c r="A102" s="5" t="s">
        <v>3681</v>
      </c>
      <c r="B102" s="5" t="s">
        <v>3682</v>
      </c>
      <c r="C102" s="6" t="s">
        <v>3683</v>
      </c>
      <c r="D102" s="6"/>
      <c r="E102" s="6"/>
      <c r="F102" s="5" t="s">
        <v>3588</v>
      </c>
      <c r="G102" s="5"/>
      <c r="H102" s="6" t="s">
        <v>3618</v>
      </c>
      <c r="I102" s="5">
        <v>2100</v>
      </c>
      <c r="J102" s="5">
        <v>6890</v>
      </c>
      <c r="K102" s="7" t="str">
        <f>HYPERLINK("http://www.centcols.org/util/geo/visuGen.php?code=US-CO-2100","US-CO-2100")</f>
        <v>US-CO-2100</v>
      </c>
      <c r="L102" s="8" t="s">
        <v>3684</v>
      </c>
      <c r="M102" s="8" t="s">
        <v>3113</v>
      </c>
      <c r="N102" s="8">
        <v>10</v>
      </c>
      <c r="O102" s="8">
        <v>35</v>
      </c>
      <c r="P102" s="8"/>
      <c r="Q102" s="5">
        <v>-108.5995689</v>
      </c>
      <c r="R102" s="5">
        <v>40.5697107</v>
      </c>
      <c r="S102" s="5" t="s">
        <v>3685</v>
      </c>
      <c r="T102" s="5" t="s">
        <v>3686</v>
      </c>
      <c r="U102" s="8"/>
      <c r="V102" s="8"/>
      <c r="W102" s="8" t="s">
        <v>2966</v>
      </c>
      <c r="X102" s="8" t="s">
        <v>2967</v>
      </c>
    </row>
    <row r="103" spans="1:24" ht="33.75">
      <c r="A103" s="5" t="s">
        <v>3687</v>
      </c>
      <c r="B103" s="5" t="s">
        <v>3688</v>
      </c>
      <c r="C103" s="6" t="s">
        <v>3689</v>
      </c>
      <c r="D103" s="6"/>
      <c r="E103" s="6"/>
      <c r="F103" s="5" t="s">
        <v>3588</v>
      </c>
      <c r="G103" s="5"/>
      <c r="H103" s="6" t="s">
        <v>3690</v>
      </c>
      <c r="I103" s="5">
        <v>2201</v>
      </c>
      <c r="J103" s="5">
        <v>7221</v>
      </c>
      <c r="K103" s="7" t="str">
        <f>HYPERLINK("http://www.centcols.org/util/geo/visuGen.php?code=US-CO-2201","US-CO-2201")</f>
        <v>US-CO-2201</v>
      </c>
      <c r="L103" s="8" t="s">
        <v>3691</v>
      </c>
      <c r="M103" s="9" t="s">
        <v>3692</v>
      </c>
      <c r="N103" s="8">
        <v>0</v>
      </c>
      <c r="O103" s="8">
        <v>0</v>
      </c>
      <c r="P103" s="8"/>
      <c r="Q103" s="5">
        <v>-106.9377789</v>
      </c>
      <c r="R103" s="5">
        <v>40.4426508</v>
      </c>
      <c r="S103" s="5" t="s">
        <v>3693</v>
      </c>
      <c r="T103" s="5" t="s">
        <v>3694</v>
      </c>
      <c r="U103" s="9" t="s">
        <v>3695</v>
      </c>
      <c r="V103" s="8"/>
      <c r="W103" s="8" t="s">
        <v>2966</v>
      </c>
      <c r="X103" s="8" t="s">
        <v>3696</v>
      </c>
    </row>
    <row r="104" spans="1:24" ht="11.25">
      <c r="A104" s="5" t="s">
        <v>3697</v>
      </c>
      <c r="B104" s="5" t="s">
        <v>3698</v>
      </c>
      <c r="C104" s="6" t="s">
        <v>3134</v>
      </c>
      <c r="D104" s="6"/>
      <c r="E104" s="6"/>
      <c r="F104" s="5" t="s">
        <v>3588</v>
      </c>
      <c r="G104" s="5"/>
      <c r="H104" s="6" t="s">
        <v>3699</v>
      </c>
      <c r="I104" s="5">
        <v>2228</v>
      </c>
      <c r="J104" s="5">
        <v>7310</v>
      </c>
      <c r="K104" s="7" t="str">
        <f>HYPERLINK("http://www.centcols.org/util/geo/visuGen.php?code=US-CO-2228","US-CO-2228")</f>
        <v>US-CO-2228</v>
      </c>
      <c r="L104" s="8" t="s">
        <v>3700</v>
      </c>
      <c r="M104" s="8" t="s">
        <v>3701</v>
      </c>
      <c r="N104" s="8">
        <v>20</v>
      </c>
      <c r="O104" s="8">
        <v>99</v>
      </c>
      <c r="P104" s="8"/>
      <c r="Q104" s="5">
        <v>-107.4097212</v>
      </c>
      <c r="R104" s="5">
        <v>39.0544447</v>
      </c>
      <c r="S104" s="5" t="s">
        <v>3702</v>
      </c>
      <c r="T104" s="5" t="s">
        <v>3703</v>
      </c>
      <c r="U104" s="8"/>
      <c r="V104" s="8"/>
      <c r="W104" s="8" t="s">
        <v>2966</v>
      </c>
      <c r="X104" s="8" t="s">
        <v>2991</v>
      </c>
    </row>
    <row r="105" spans="1:24" ht="11.25">
      <c r="A105" s="5" t="s">
        <v>3704</v>
      </c>
      <c r="B105" s="5" t="s">
        <v>3705</v>
      </c>
      <c r="C105" s="6" t="s">
        <v>3706</v>
      </c>
      <c r="D105" s="6"/>
      <c r="E105" s="6"/>
      <c r="F105" s="5" t="s">
        <v>3588</v>
      </c>
      <c r="G105" s="5"/>
      <c r="H105" s="6" t="s">
        <v>2995</v>
      </c>
      <c r="I105" s="5">
        <v>2233</v>
      </c>
      <c r="J105" s="5">
        <v>7326</v>
      </c>
      <c r="K105" s="7" t="str">
        <f>HYPERLINK("http://www.centcols.org/util/geo/visuGen.php?code=US-CO-2233","US-CO-2233")</f>
        <v>US-CO-2233</v>
      </c>
      <c r="L105" s="8" t="s">
        <v>3707</v>
      </c>
      <c r="M105" s="8"/>
      <c r="N105" s="8">
        <v>0</v>
      </c>
      <c r="O105" s="8">
        <v>0</v>
      </c>
      <c r="P105" s="8"/>
      <c r="Q105" s="5">
        <v>-105.24136</v>
      </c>
      <c r="R105" s="5">
        <v>39.73038</v>
      </c>
      <c r="S105" s="5" t="s">
        <v>3708</v>
      </c>
      <c r="T105" s="5" t="s">
        <v>3709</v>
      </c>
      <c r="U105" s="8"/>
      <c r="V105" s="8"/>
      <c r="W105" s="8" t="s">
        <v>2966</v>
      </c>
      <c r="X105" s="8" t="s">
        <v>3011</v>
      </c>
    </row>
    <row r="106" spans="1:24" ht="33.75">
      <c r="A106" s="5" t="s">
        <v>3710</v>
      </c>
      <c r="B106" s="5" t="s">
        <v>3711</v>
      </c>
      <c r="C106" s="6" t="s">
        <v>3712</v>
      </c>
      <c r="D106" s="6"/>
      <c r="E106" s="6"/>
      <c r="F106" s="5" t="s">
        <v>3588</v>
      </c>
      <c r="G106" s="5"/>
      <c r="H106" s="6" t="s">
        <v>3713</v>
      </c>
      <c r="I106" s="5">
        <v>2241</v>
      </c>
      <c r="J106" s="5">
        <v>7352</v>
      </c>
      <c r="K106" s="7" t="str">
        <f>HYPERLINK("http://www.centcols.org/util/geo/visuGen.php?code=US-CO-2241","US-CO-2241")</f>
        <v>US-CO-2241</v>
      </c>
      <c r="L106" s="8" t="s">
        <v>3714</v>
      </c>
      <c r="M106" s="9" t="s">
        <v>3715</v>
      </c>
      <c r="N106" s="8">
        <v>0</v>
      </c>
      <c r="O106" s="8">
        <v>0</v>
      </c>
      <c r="P106" s="8"/>
      <c r="Q106" s="5">
        <v>-104.8649965</v>
      </c>
      <c r="R106" s="5">
        <v>39.1221683</v>
      </c>
      <c r="S106" s="5" t="s">
        <v>3716</v>
      </c>
      <c r="T106" s="5" t="s">
        <v>3717</v>
      </c>
      <c r="U106" s="9" t="s">
        <v>3718</v>
      </c>
      <c r="V106" s="8"/>
      <c r="W106" s="8" t="s">
        <v>2966</v>
      </c>
      <c r="X106" s="8" t="s">
        <v>3696</v>
      </c>
    </row>
    <row r="107" spans="1:24" ht="11.25">
      <c r="A107" s="5" t="s">
        <v>3719</v>
      </c>
      <c r="B107" s="5" t="s">
        <v>3720</v>
      </c>
      <c r="C107" s="6" t="s">
        <v>3721</v>
      </c>
      <c r="D107" s="6"/>
      <c r="E107" s="6"/>
      <c r="F107" s="5" t="s">
        <v>3588</v>
      </c>
      <c r="G107" s="5"/>
      <c r="H107" s="6" t="s">
        <v>3626</v>
      </c>
      <c r="I107" s="5">
        <v>2243</v>
      </c>
      <c r="J107" s="5">
        <v>7359</v>
      </c>
      <c r="K107" s="7" t="str">
        <f>HYPERLINK("http://www.centcols.org/util/geo/visuGen.php?code=US-CO-2243","US-CO-2243")</f>
        <v>US-CO-2243</v>
      </c>
      <c r="L107" s="8" t="s">
        <v>3722</v>
      </c>
      <c r="M107" s="8"/>
      <c r="N107" s="8">
        <v>15</v>
      </c>
      <c r="O107" s="8">
        <v>99</v>
      </c>
      <c r="P107" s="8"/>
      <c r="Q107" s="5">
        <v>-107.142778</v>
      </c>
      <c r="R107" s="5">
        <v>40.155833</v>
      </c>
      <c r="S107" s="5" t="s">
        <v>3723</v>
      </c>
      <c r="T107" s="5" t="s">
        <v>3724</v>
      </c>
      <c r="U107" s="8"/>
      <c r="V107" s="8"/>
      <c r="W107" s="8" t="s">
        <v>2966</v>
      </c>
      <c r="X107" s="8" t="s">
        <v>3011</v>
      </c>
    </row>
    <row r="108" spans="1:24" ht="22.5">
      <c r="A108" s="5" t="s">
        <v>3725</v>
      </c>
      <c r="B108" s="5" t="s">
        <v>3726</v>
      </c>
      <c r="C108" s="6" t="s">
        <v>3727</v>
      </c>
      <c r="D108" s="6"/>
      <c r="E108" s="6" t="s">
        <v>3728</v>
      </c>
      <c r="F108" s="5" t="s">
        <v>3588</v>
      </c>
      <c r="G108" s="5"/>
      <c r="H108" s="6" t="s">
        <v>3690</v>
      </c>
      <c r="I108" s="5">
        <v>2307</v>
      </c>
      <c r="J108" s="5">
        <v>7569</v>
      </c>
      <c r="K108" s="7" t="str">
        <f>HYPERLINK("http://www.centcols.org/util/geo/visuGen.php?code=US-CO-2307","US-CO-2307")</f>
        <v>US-CO-2307</v>
      </c>
      <c r="L108" s="8" t="s">
        <v>3729</v>
      </c>
      <c r="M108" s="8" t="s">
        <v>3113</v>
      </c>
      <c r="N108" s="8">
        <v>10</v>
      </c>
      <c r="O108" s="8">
        <v>35</v>
      </c>
      <c r="P108" s="8"/>
      <c r="Q108" s="5">
        <v>-107.2018089</v>
      </c>
      <c r="R108" s="5">
        <v>40.3565207</v>
      </c>
      <c r="S108" s="5" t="s">
        <v>3730</v>
      </c>
      <c r="T108" s="5" t="s">
        <v>3731</v>
      </c>
      <c r="U108" s="9" t="s">
        <v>3732</v>
      </c>
      <c r="V108" s="8"/>
      <c r="W108" s="8" t="s">
        <v>2966</v>
      </c>
      <c r="X108" s="8" t="s">
        <v>3696</v>
      </c>
    </row>
    <row r="109" spans="1:24" ht="11.25">
      <c r="A109" s="5" t="s">
        <v>3733</v>
      </c>
      <c r="B109" s="5" t="s">
        <v>3734</v>
      </c>
      <c r="C109" s="6" t="s">
        <v>3735</v>
      </c>
      <c r="D109" s="6"/>
      <c r="E109" s="6"/>
      <c r="F109" s="5" t="s">
        <v>3588</v>
      </c>
      <c r="G109" s="5"/>
      <c r="H109" s="6" t="s">
        <v>3626</v>
      </c>
      <c r="I109" s="5">
        <v>2312</v>
      </c>
      <c r="J109" s="5">
        <v>7585</v>
      </c>
      <c r="K109" s="7" t="str">
        <f>HYPERLINK("http://www.centcols.org/util/geo/visuGen.php?code=US-CO-2312","US-CO-2312")</f>
        <v>US-CO-2312</v>
      </c>
      <c r="L109" s="8" t="s">
        <v>3736</v>
      </c>
      <c r="M109" s="9" t="s">
        <v>3591</v>
      </c>
      <c r="N109" s="8">
        <v>0</v>
      </c>
      <c r="O109" s="8">
        <v>0</v>
      </c>
      <c r="P109" s="8"/>
      <c r="Q109" s="5">
        <v>-108.5507091</v>
      </c>
      <c r="R109" s="5">
        <v>39.9146506</v>
      </c>
      <c r="S109" s="5" t="s">
        <v>3737</v>
      </c>
      <c r="T109" s="5" t="s">
        <v>3738</v>
      </c>
      <c r="U109" s="8"/>
      <c r="V109" s="8"/>
      <c r="W109" s="8" t="s">
        <v>2966</v>
      </c>
      <c r="X109" s="8" t="s">
        <v>2967</v>
      </c>
    </row>
    <row r="110" spans="1:24" ht="11.25">
      <c r="A110" s="5" t="s">
        <v>3739</v>
      </c>
      <c r="B110" s="5" t="s">
        <v>3740</v>
      </c>
      <c r="C110" s="6" t="s">
        <v>3741</v>
      </c>
      <c r="D110" s="6"/>
      <c r="E110" s="6"/>
      <c r="F110" s="5" t="s">
        <v>3588</v>
      </c>
      <c r="G110" s="5"/>
      <c r="H110" s="6" t="s">
        <v>3742</v>
      </c>
      <c r="I110" s="5">
        <v>2340</v>
      </c>
      <c r="J110" s="5">
        <v>7677</v>
      </c>
      <c r="K110" s="7" t="str">
        <f>HYPERLINK("http://www.centcols.org/util/geo/visuGen.php?code=US-CO-2340","US-CO-2340")</f>
        <v>US-CO-2340</v>
      </c>
      <c r="L110" s="8" t="s">
        <v>3743</v>
      </c>
      <c r="M110" s="8" t="s">
        <v>3113</v>
      </c>
      <c r="N110" s="8">
        <v>10</v>
      </c>
      <c r="O110" s="8">
        <v>35</v>
      </c>
      <c r="P110" s="8"/>
      <c r="Q110" s="5">
        <v>-107.0272893</v>
      </c>
      <c r="R110" s="5">
        <v>39.5750504</v>
      </c>
      <c r="S110" s="5" t="s">
        <v>3744</v>
      </c>
      <c r="T110" s="5" t="s">
        <v>3745</v>
      </c>
      <c r="U110" s="8"/>
      <c r="V110" s="8"/>
      <c r="W110" s="8" t="s">
        <v>2966</v>
      </c>
      <c r="X110" s="8" t="s">
        <v>2967</v>
      </c>
    </row>
    <row r="111" spans="1:24" ht="11.25">
      <c r="A111" s="5" t="s">
        <v>3746</v>
      </c>
      <c r="B111" s="5" t="s">
        <v>3747</v>
      </c>
      <c r="C111" s="6" t="s">
        <v>3748</v>
      </c>
      <c r="D111" s="6"/>
      <c r="E111" s="6"/>
      <c r="F111" s="5" t="s">
        <v>3588</v>
      </c>
      <c r="G111" s="5"/>
      <c r="H111" s="6" t="s">
        <v>3749</v>
      </c>
      <c r="I111" s="5">
        <v>2345</v>
      </c>
      <c r="J111" s="5">
        <v>7693</v>
      </c>
      <c r="K111" s="7" t="str">
        <f>HYPERLINK("http://www.centcols.org/util/geo/visuGen.php?code=US-CO-2345","US-CO-2345")</f>
        <v>US-CO-2345</v>
      </c>
      <c r="L111" s="8" t="s">
        <v>3750</v>
      </c>
      <c r="M111" s="8" t="s">
        <v>2962</v>
      </c>
      <c r="N111" s="8">
        <v>20</v>
      </c>
      <c r="O111" s="8">
        <v>99</v>
      </c>
      <c r="P111" s="8"/>
      <c r="Q111" s="5">
        <v>-105.4568889</v>
      </c>
      <c r="R111" s="5">
        <v>40.8303509</v>
      </c>
      <c r="S111" s="5" t="s">
        <v>3751</v>
      </c>
      <c r="T111" s="5" t="s">
        <v>3752</v>
      </c>
      <c r="U111" s="8"/>
      <c r="V111" s="8"/>
      <c r="W111" s="8" t="s">
        <v>2966</v>
      </c>
      <c r="X111" s="8" t="s">
        <v>2967</v>
      </c>
    </row>
    <row r="112" spans="1:24" ht="33.75">
      <c r="A112" s="5" t="s">
        <v>3753</v>
      </c>
      <c r="B112" s="5" t="s">
        <v>3754</v>
      </c>
      <c r="C112" s="6" t="s">
        <v>3755</v>
      </c>
      <c r="D112" s="6"/>
      <c r="E112" s="6"/>
      <c r="F112" s="5" t="s">
        <v>3588</v>
      </c>
      <c r="G112" s="5"/>
      <c r="H112" s="6" t="s">
        <v>3756</v>
      </c>
      <c r="I112" s="5">
        <v>2362</v>
      </c>
      <c r="J112" s="5">
        <v>7749</v>
      </c>
      <c r="K112" s="7" t="str">
        <f>HYPERLINK("http://www.centcols.org/util/geo/visuGen.php?code=US-CO-2362","US-CO-2362")</f>
        <v>US-CO-2362</v>
      </c>
      <c r="L112" s="8" t="s">
        <v>3757</v>
      </c>
      <c r="M112" s="9" t="s">
        <v>3758</v>
      </c>
      <c r="N112" s="8">
        <v>0</v>
      </c>
      <c r="O112" s="8">
        <v>0</v>
      </c>
      <c r="P112" s="8"/>
      <c r="Q112" s="5">
        <v>-105.3310932</v>
      </c>
      <c r="R112" s="5">
        <v>39.7835501</v>
      </c>
      <c r="S112" s="5" t="s">
        <v>3759</v>
      </c>
      <c r="T112" s="5" t="s">
        <v>3760</v>
      </c>
      <c r="U112" s="9" t="s">
        <v>3761</v>
      </c>
      <c r="V112" s="8"/>
      <c r="W112" s="8" t="s">
        <v>2966</v>
      </c>
      <c r="X112" s="8" t="s">
        <v>3696</v>
      </c>
    </row>
    <row r="113" spans="1:24" ht="11.25">
      <c r="A113" s="5" t="s">
        <v>3762</v>
      </c>
      <c r="B113" s="5" t="s">
        <v>3763</v>
      </c>
      <c r="C113" s="6" t="s">
        <v>3764</v>
      </c>
      <c r="D113" s="6"/>
      <c r="E113" s="6"/>
      <c r="F113" s="5" t="s">
        <v>3588</v>
      </c>
      <c r="G113" s="5"/>
      <c r="H113" s="6" t="s">
        <v>3765</v>
      </c>
      <c r="I113" s="5">
        <v>2394</v>
      </c>
      <c r="J113" s="5">
        <v>7854</v>
      </c>
      <c r="K113" s="7" t="str">
        <f>HYPERLINK("http://www.centcols.org/util/geo/visuGen.php?code=US-CO-2394","US-CO-2394")</f>
        <v>US-CO-2394</v>
      </c>
      <c r="L113" s="8" t="s">
        <v>3766</v>
      </c>
      <c r="M113" s="9" t="s">
        <v>3767</v>
      </c>
      <c r="N113" s="8">
        <v>0</v>
      </c>
      <c r="O113" s="8">
        <v>0</v>
      </c>
      <c r="P113" s="8"/>
      <c r="Q113" s="5">
        <v>-106.834989</v>
      </c>
      <c r="R113" s="5">
        <v>37.0742908</v>
      </c>
      <c r="S113" s="5" t="s">
        <v>3768</v>
      </c>
      <c r="T113" s="5" t="s">
        <v>3769</v>
      </c>
      <c r="U113" s="9" t="s">
        <v>3770</v>
      </c>
      <c r="V113" s="8" t="s">
        <v>3770</v>
      </c>
      <c r="W113" s="8" t="s">
        <v>2966</v>
      </c>
      <c r="X113" s="8" t="s">
        <v>2967</v>
      </c>
    </row>
    <row r="114" spans="1:24" ht="33.75">
      <c r="A114" s="5" t="s">
        <v>3771</v>
      </c>
      <c r="B114" s="5" t="s">
        <v>3772</v>
      </c>
      <c r="C114" s="6" t="s">
        <v>3773</v>
      </c>
      <c r="D114" s="6"/>
      <c r="E114" s="6"/>
      <c r="F114" s="5" t="s">
        <v>3588</v>
      </c>
      <c r="G114" s="5"/>
      <c r="H114" s="6" t="s">
        <v>3668</v>
      </c>
      <c r="I114" s="5">
        <v>2397</v>
      </c>
      <c r="J114" s="5">
        <v>7864</v>
      </c>
      <c r="K114" s="7" t="str">
        <f>HYPERLINK("http://www.centcols.org/util/geo/visuGen.php?code=US-CO-2397","US-CO-2397")</f>
        <v>US-CO-2397</v>
      </c>
      <c r="L114" s="8" t="s">
        <v>3774</v>
      </c>
      <c r="M114" s="8" t="s">
        <v>3113</v>
      </c>
      <c r="N114" s="8">
        <v>10</v>
      </c>
      <c r="O114" s="8">
        <v>35</v>
      </c>
      <c r="P114" s="8"/>
      <c r="Q114" s="5">
        <v>-104.8996094</v>
      </c>
      <c r="R114" s="5">
        <v>38.8006103</v>
      </c>
      <c r="S114" s="5" t="s">
        <v>3775</v>
      </c>
      <c r="T114" s="5" t="s">
        <v>3776</v>
      </c>
      <c r="U114" s="9" t="s">
        <v>3777</v>
      </c>
      <c r="V114" s="8"/>
      <c r="W114" s="8" t="s">
        <v>2966</v>
      </c>
      <c r="X114" s="8" t="s">
        <v>3696</v>
      </c>
    </row>
    <row r="115" spans="1:24" ht="11.25">
      <c r="A115" s="5" t="s">
        <v>3778</v>
      </c>
      <c r="B115" s="5" t="s">
        <v>3779</v>
      </c>
      <c r="C115" s="6" t="s">
        <v>3780</v>
      </c>
      <c r="D115" s="6"/>
      <c r="E115" s="6"/>
      <c r="F115" s="5" t="s">
        <v>3588</v>
      </c>
      <c r="G115" s="5"/>
      <c r="H115" s="6" t="s">
        <v>2995</v>
      </c>
      <c r="I115" s="5">
        <v>2412</v>
      </c>
      <c r="J115" s="5">
        <v>7913</v>
      </c>
      <c r="K115" s="7" t="str">
        <f>HYPERLINK("http://www.centcols.org/util/geo/visuGen.php?code=US-CO-2412","US-CO-2412")</f>
        <v>US-CO-2412</v>
      </c>
      <c r="L115" s="8" t="s">
        <v>3781</v>
      </c>
      <c r="M115" s="9" t="s">
        <v>3782</v>
      </c>
      <c r="N115" s="8">
        <v>0</v>
      </c>
      <c r="O115" s="8">
        <v>0</v>
      </c>
      <c r="P115" s="8"/>
      <c r="Q115" s="5">
        <v>-105.414439</v>
      </c>
      <c r="R115" s="5">
        <v>39.723061</v>
      </c>
      <c r="S115" s="5" t="s">
        <v>3783</v>
      </c>
      <c r="T115" s="5" t="s">
        <v>3784</v>
      </c>
      <c r="U115" s="8"/>
      <c r="V115" s="8"/>
      <c r="W115" s="8" t="s">
        <v>2966</v>
      </c>
      <c r="X115" s="8" t="s">
        <v>3785</v>
      </c>
    </row>
    <row r="116" spans="1:24" ht="33.75">
      <c r="A116" s="5" t="s">
        <v>3786</v>
      </c>
      <c r="B116" s="5" t="s">
        <v>3787</v>
      </c>
      <c r="C116" s="6" t="s">
        <v>3788</v>
      </c>
      <c r="D116" s="6"/>
      <c r="E116" s="6"/>
      <c r="F116" s="5" t="s">
        <v>3588</v>
      </c>
      <c r="G116" s="5"/>
      <c r="H116" s="6" t="s">
        <v>3789</v>
      </c>
      <c r="I116" s="5">
        <v>2443</v>
      </c>
      <c r="J116" s="5">
        <v>8015</v>
      </c>
      <c r="K116" s="7" t="str">
        <f>HYPERLINK("http://www.centcols.org/util/geo/visuGen.php?code=US-CO-2443","US-CO-2443")</f>
        <v>US-CO-2443</v>
      </c>
      <c r="L116" s="8" t="s">
        <v>3790</v>
      </c>
      <c r="M116" s="9" t="s">
        <v>3791</v>
      </c>
      <c r="N116" s="9">
        <v>10</v>
      </c>
      <c r="O116" s="9">
        <v>35</v>
      </c>
      <c r="P116" s="8"/>
      <c r="Q116" s="5">
        <v>-108.0249091</v>
      </c>
      <c r="R116" s="5">
        <v>37.2613549</v>
      </c>
      <c r="S116" s="5" t="s">
        <v>3792</v>
      </c>
      <c r="T116" s="5" t="s">
        <v>3793</v>
      </c>
      <c r="U116" s="9" t="s">
        <v>3794</v>
      </c>
      <c r="V116" s="8"/>
      <c r="W116" s="8" t="s">
        <v>2966</v>
      </c>
      <c r="X116" s="8" t="s">
        <v>3696</v>
      </c>
    </row>
    <row r="117" spans="1:24" ht="11.25">
      <c r="A117" s="5" t="s">
        <v>3795</v>
      </c>
      <c r="B117" s="5" t="s">
        <v>3796</v>
      </c>
      <c r="C117" s="6" t="s">
        <v>3797</v>
      </c>
      <c r="D117" s="6"/>
      <c r="E117" s="6"/>
      <c r="F117" s="5" t="s">
        <v>3588</v>
      </c>
      <c r="G117" s="5"/>
      <c r="H117" s="6" t="s">
        <v>3749</v>
      </c>
      <c r="I117" s="5">
        <v>2456</v>
      </c>
      <c r="J117" s="5">
        <v>8058</v>
      </c>
      <c r="K117" s="7" t="str">
        <f>HYPERLINK("http://www.centcols.org/util/geo/visuGen.php?code=US-CO-2456","US-CO-2456")</f>
        <v>US-CO-2456</v>
      </c>
      <c r="L117" s="8" t="s">
        <v>3798</v>
      </c>
      <c r="M117" s="9" t="s">
        <v>3799</v>
      </c>
      <c r="N117" s="8">
        <v>0</v>
      </c>
      <c r="O117" s="8">
        <v>0</v>
      </c>
      <c r="P117" s="8"/>
      <c r="Q117" s="5">
        <v>-105.4556491</v>
      </c>
      <c r="R117" s="5">
        <v>40.3568905</v>
      </c>
      <c r="S117" s="5" t="s">
        <v>3800</v>
      </c>
      <c r="T117" s="5" t="s">
        <v>3801</v>
      </c>
      <c r="U117" s="8"/>
      <c r="V117" s="8"/>
      <c r="W117" s="8" t="s">
        <v>2966</v>
      </c>
      <c r="X117" s="8" t="s">
        <v>2967</v>
      </c>
    </row>
    <row r="118" spans="1:24" ht="11.25">
      <c r="A118" s="5" t="s">
        <v>3802</v>
      </c>
      <c r="B118" s="5" t="s">
        <v>3803</v>
      </c>
      <c r="C118" s="6" t="s">
        <v>3804</v>
      </c>
      <c r="D118" s="6"/>
      <c r="E118" s="6"/>
      <c r="F118" s="5" t="s">
        <v>3588</v>
      </c>
      <c r="G118" s="5"/>
      <c r="H118" s="6" t="s">
        <v>3749</v>
      </c>
      <c r="I118" s="5">
        <v>2476</v>
      </c>
      <c r="J118" s="5">
        <v>8123</v>
      </c>
      <c r="K118" s="7" t="str">
        <f>HYPERLINK("http://www.centcols.org/util/geo/visuGen.php?code=US-CO-2476","US-CO-2476")</f>
        <v>US-CO-2476</v>
      </c>
      <c r="L118" s="8" t="s">
        <v>3805</v>
      </c>
      <c r="M118" s="8" t="s">
        <v>2988</v>
      </c>
      <c r="N118" s="8">
        <v>10</v>
      </c>
      <c r="O118" s="8">
        <v>35</v>
      </c>
      <c r="P118" s="8"/>
      <c r="Q118" s="5">
        <v>-105.5224995</v>
      </c>
      <c r="R118" s="5">
        <v>40.6436118</v>
      </c>
      <c r="S118" s="5" t="s">
        <v>3806</v>
      </c>
      <c r="T118" s="5" t="s">
        <v>3807</v>
      </c>
      <c r="U118" s="8"/>
      <c r="V118" s="8"/>
      <c r="W118" s="8" t="s">
        <v>2966</v>
      </c>
      <c r="X118" s="8" t="s">
        <v>3085</v>
      </c>
    </row>
    <row r="119" spans="1:24" ht="11.25">
      <c r="A119" s="5" t="s">
        <v>3808</v>
      </c>
      <c r="B119" s="5" t="s">
        <v>3809</v>
      </c>
      <c r="C119" s="6" t="s">
        <v>3810</v>
      </c>
      <c r="D119" s="6"/>
      <c r="E119" s="6"/>
      <c r="F119" s="5" t="s">
        <v>3588</v>
      </c>
      <c r="G119" s="5"/>
      <c r="H119" s="6" t="s">
        <v>3749</v>
      </c>
      <c r="I119" s="5">
        <v>2509</v>
      </c>
      <c r="J119" s="5">
        <v>8232</v>
      </c>
      <c r="K119" s="7" t="str">
        <f>HYPERLINK("http://www.centcols.org/util/geo/visuGen.php?code=US-CO-2509","US-CO-2509")</f>
        <v>US-CO-2509</v>
      </c>
      <c r="L119" s="8" t="s">
        <v>3811</v>
      </c>
      <c r="M119" s="8" t="s">
        <v>3812</v>
      </c>
      <c r="N119" s="8">
        <v>0</v>
      </c>
      <c r="O119" s="8">
        <v>0</v>
      </c>
      <c r="P119" s="8" t="s">
        <v>3338</v>
      </c>
      <c r="Q119" s="5">
        <v>-105.5827771</v>
      </c>
      <c r="R119" s="5">
        <v>40.3602788</v>
      </c>
      <c r="S119" s="5" t="s">
        <v>3813</v>
      </c>
      <c r="T119" s="5" t="s">
        <v>3814</v>
      </c>
      <c r="U119" s="8"/>
      <c r="V119" s="8" t="s">
        <v>3815</v>
      </c>
      <c r="W119" s="8" t="s">
        <v>2966</v>
      </c>
      <c r="X119" s="8" t="s">
        <v>3085</v>
      </c>
    </row>
    <row r="120" spans="1:24" ht="11.25">
      <c r="A120" s="5" t="s">
        <v>3816</v>
      </c>
      <c r="B120" s="5" t="s">
        <v>3817</v>
      </c>
      <c r="C120" s="6" t="s">
        <v>3818</v>
      </c>
      <c r="D120" s="6"/>
      <c r="E120" s="6" t="s">
        <v>3819</v>
      </c>
      <c r="F120" s="5" t="s">
        <v>3588</v>
      </c>
      <c r="G120" s="5"/>
      <c r="H120" s="6" t="s">
        <v>3633</v>
      </c>
      <c r="I120" s="5">
        <v>2510</v>
      </c>
      <c r="J120" s="5">
        <v>8235</v>
      </c>
      <c r="K120" s="7" t="str">
        <f>HYPERLINK("http://www.centcols.org/util/geo/visuGen.php?code=US-CO-2510","US-CO-2510")</f>
        <v>US-CO-2510</v>
      </c>
      <c r="L120" s="8" t="s">
        <v>3820</v>
      </c>
      <c r="M120" s="8" t="s">
        <v>3113</v>
      </c>
      <c r="N120" s="8">
        <v>10</v>
      </c>
      <c r="O120" s="8">
        <v>35</v>
      </c>
      <c r="P120" s="8"/>
      <c r="Q120" s="5">
        <v>-105.4083294</v>
      </c>
      <c r="R120" s="5">
        <v>40.0637906</v>
      </c>
      <c r="S120" s="5" t="s">
        <v>3821</v>
      </c>
      <c r="T120" s="5" t="s">
        <v>3822</v>
      </c>
      <c r="U120" s="8"/>
      <c r="V120" s="8"/>
      <c r="W120" s="8" t="s">
        <v>2966</v>
      </c>
      <c r="X120" s="8" t="s">
        <v>2967</v>
      </c>
    </row>
    <row r="121" spans="1:24" ht="11.25">
      <c r="A121" s="5" t="s">
        <v>3823</v>
      </c>
      <c r="B121" s="5" t="s">
        <v>3824</v>
      </c>
      <c r="C121" s="6" t="s">
        <v>3825</v>
      </c>
      <c r="D121" s="6"/>
      <c r="E121" s="6"/>
      <c r="F121" s="5" t="s">
        <v>3588</v>
      </c>
      <c r="G121" s="5"/>
      <c r="H121" s="6" t="s">
        <v>3826</v>
      </c>
      <c r="I121" s="5">
        <v>2579</v>
      </c>
      <c r="J121" s="5">
        <v>8461</v>
      </c>
      <c r="K121" s="7" t="str">
        <f>HYPERLINK("http://www.centcols.org/util/geo/visuGen.php?code=US-CO-2579","US-CO-2579")</f>
        <v>US-CO-2579</v>
      </c>
      <c r="L121" s="8" t="s">
        <v>3827</v>
      </c>
      <c r="M121" s="8" t="s">
        <v>3113</v>
      </c>
      <c r="N121" s="8">
        <v>10</v>
      </c>
      <c r="O121" s="8">
        <v>35</v>
      </c>
      <c r="P121" s="8"/>
      <c r="Q121" s="5">
        <v>-108.6483336</v>
      </c>
      <c r="R121" s="5">
        <v>38.7699641</v>
      </c>
      <c r="S121" s="5" t="s">
        <v>3828</v>
      </c>
      <c r="T121" s="5" t="s">
        <v>3829</v>
      </c>
      <c r="U121" s="8"/>
      <c r="V121" s="8"/>
      <c r="W121" s="8" t="s">
        <v>2966</v>
      </c>
      <c r="X121" s="8" t="s">
        <v>3830</v>
      </c>
    </row>
    <row r="122" spans="1:24" ht="22.5">
      <c r="A122" s="5" t="s">
        <v>3831</v>
      </c>
      <c r="B122" s="5" t="s">
        <v>3832</v>
      </c>
      <c r="C122" s="6" t="s">
        <v>3833</v>
      </c>
      <c r="D122" s="6"/>
      <c r="E122" s="6"/>
      <c r="F122" s="5" t="s">
        <v>3588</v>
      </c>
      <c r="G122" s="5"/>
      <c r="H122" s="6" t="s">
        <v>3834</v>
      </c>
      <c r="I122" s="5">
        <v>2598</v>
      </c>
      <c r="J122" s="5">
        <v>8524</v>
      </c>
      <c r="K122" s="7" t="str">
        <f>HYPERLINK("http://www.centcols.org/util/geo/visuGen.php?code=US-CO-2598","US-CO-2598")</f>
        <v>US-CO-2598</v>
      </c>
      <c r="L122" s="8" t="s">
        <v>3835</v>
      </c>
      <c r="M122" s="9" t="s">
        <v>3836</v>
      </c>
      <c r="N122" s="8">
        <v>0</v>
      </c>
      <c r="O122" s="8">
        <v>0</v>
      </c>
      <c r="P122" s="8"/>
      <c r="Q122" s="5">
        <v>-105.4632902</v>
      </c>
      <c r="R122" s="5">
        <v>39.4327625</v>
      </c>
      <c r="S122" s="5" t="s">
        <v>3837</v>
      </c>
      <c r="T122" s="5" t="s">
        <v>3838</v>
      </c>
      <c r="U122" s="9" t="s">
        <v>3839</v>
      </c>
      <c r="V122" s="8"/>
      <c r="W122" s="8" t="s">
        <v>2966</v>
      </c>
      <c r="X122" s="8" t="s">
        <v>2967</v>
      </c>
    </row>
    <row r="123" spans="1:24" ht="11.25">
      <c r="A123" s="5" t="s">
        <v>3840</v>
      </c>
      <c r="B123" s="5" t="s">
        <v>3841</v>
      </c>
      <c r="C123" s="6" t="s">
        <v>3842</v>
      </c>
      <c r="D123" s="6"/>
      <c r="E123" s="6"/>
      <c r="F123" s="5" t="s">
        <v>3588</v>
      </c>
      <c r="G123" s="5"/>
      <c r="H123" s="6" t="s">
        <v>3843</v>
      </c>
      <c r="I123" s="5">
        <v>2618</v>
      </c>
      <c r="J123" s="5">
        <v>8589</v>
      </c>
      <c r="K123" s="7" t="str">
        <f>HYPERLINK("http://www.centcols.org/util/geo/visuGen.php?code=US-CO-2618","US-CO-2618")</f>
        <v>US-CO-2618</v>
      </c>
      <c r="L123" s="8" t="s">
        <v>3844</v>
      </c>
      <c r="M123" s="8" t="s">
        <v>3113</v>
      </c>
      <c r="N123" s="8">
        <v>10</v>
      </c>
      <c r="O123" s="8">
        <v>35</v>
      </c>
      <c r="P123" s="8"/>
      <c r="Q123" s="5">
        <v>-104.9539592</v>
      </c>
      <c r="R123" s="5">
        <v>37.2920707</v>
      </c>
      <c r="S123" s="5" t="s">
        <v>3845</v>
      </c>
      <c r="T123" s="5" t="s">
        <v>3846</v>
      </c>
      <c r="U123" s="8" t="s">
        <v>3847</v>
      </c>
      <c r="V123" s="8"/>
      <c r="W123" s="8" t="s">
        <v>2966</v>
      </c>
      <c r="X123" s="8" t="s">
        <v>3696</v>
      </c>
    </row>
    <row r="124" spans="1:24" ht="11.25">
      <c r="A124" s="5" t="s">
        <v>3848</v>
      </c>
      <c r="B124" s="5" t="s">
        <v>3849</v>
      </c>
      <c r="C124" s="6" t="s">
        <v>3850</v>
      </c>
      <c r="D124" s="6"/>
      <c r="E124" s="6"/>
      <c r="F124" s="5" t="s">
        <v>3588</v>
      </c>
      <c r="G124" s="5"/>
      <c r="H124" s="6" t="s">
        <v>3749</v>
      </c>
      <c r="I124" s="5">
        <v>2630</v>
      </c>
      <c r="J124" s="5">
        <v>8629</v>
      </c>
      <c r="K124" s="7" t="str">
        <f>HYPERLINK("http://www.centcols.org/util/geo/visuGen.php?code=US-CO-2630","US-CO-2630")</f>
        <v>US-CO-2630</v>
      </c>
      <c r="L124" s="8" t="s">
        <v>3805</v>
      </c>
      <c r="M124" s="8" t="s">
        <v>3113</v>
      </c>
      <c r="N124" s="8">
        <v>10</v>
      </c>
      <c r="O124" s="8">
        <v>35</v>
      </c>
      <c r="P124" s="8"/>
      <c r="Q124" s="5">
        <v>-105.5756994</v>
      </c>
      <c r="R124" s="5">
        <v>40.7228707</v>
      </c>
      <c r="S124" s="5" t="s">
        <v>3851</v>
      </c>
      <c r="T124" s="5" t="s">
        <v>3852</v>
      </c>
      <c r="U124" s="8"/>
      <c r="V124" s="8"/>
      <c r="W124" s="8" t="s">
        <v>2966</v>
      </c>
      <c r="X124" s="8" t="s">
        <v>3202</v>
      </c>
    </row>
    <row r="125" spans="1:24" ht="33.75">
      <c r="A125" s="5" t="s">
        <v>3853</v>
      </c>
      <c r="B125" s="5" t="s">
        <v>3854</v>
      </c>
      <c r="C125" s="6" t="s">
        <v>3855</v>
      </c>
      <c r="D125" s="6"/>
      <c r="E125" s="6"/>
      <c r="F125" s="5" t="s">
        <v>3588</v>
      </c>
      <c r="G125" s="5"/>
      <c r="H125" s="6" t="s">
        <v>3690</v>
      </c>
      <c r="I125" s="5">
        <v>2650</v>
      </c>
      <c r="J125" s="5">
        <v>8694</v>
      </c>
      <c r="K125" s="7" t="str">
        <f>HYPERLINK("http://www.centcols.org/util/geo/visuGen.php?code=US-CO-2650","US-CO-2650")</f>
        <v>US-CO-2650</v>
      </c>
      <c r="L125" s="8" t="s">
        <v>3856</v>
      </c>
      <c r="M125" s="8" t="s">
        <v>3113</v>
      </c>
      <c r="N125" s="8">
        <v>10</v>
      </c>
      <c r="O125" s="8">
        <v>35</v>
      </c>
      <c r="P125" s="8"/>
      <c r="Q125" s="5">
        <v>-106.966929</v>
      </c>
      <c r="R125" s="5">
        <v>40.8523807</v>
      </c>
      <c r="S125" s="5" t="s">
        <v>3857</v>
      </c>
      <c r="T125" s="5" t="s">
        <v>3858</v>
      </c>
      <c r="U125" s="9" t="s">
        <v>3859</v>
      </c>
      <c r="V125" s="8"/>
      <c r="W125" s="8" t="s">
        <v>2966</v>
      </c>
      <c r="X125" s="8" t="s">
        <v>3860</v>
      </c>
    </row>
    <row r="126" spans="1:24" ht="11.25">
      <c r="A126" s="5" t="s">
        <v>3861</v>
      </c>
      <c r="B126" s="5" t="s">
        <v>3862</v>
      </c>
      <c r="C126" s="6" t="s">
        <v>3863</v>
      </c>
      <c r="D126" s="6"/>
      <c r="E126" s="6"/>
      <c r="F126" s="5" t="s">
        <v>3588</v>
      </c>
      <c r="G126" s="5"/>
      <c r="H126" s="6" t="s">
        <v>3864</v>
      </c>
      <c r="I126" s="5">
        <v>2660</v>
      </c>
      <c r="J126" s="5">
        <v>8727</v>
      </c>
      <c r="K126" s="7" t="str">
        <f>HYPERLINK("http://www.centcols.org/util/geo/visuGen.php?code=US-CO-2660","US-CO-2660")</f>
        <v>US-CO-2660</v>
      </c>
      <c r="L126" s="8" t="s">
        <v>3865</v>
      </c>
      <c r="M126" s="8" t="s">
        <v>2962</v>
      </c>
      <c r="N126" s="8">
        <v>10</v>
      </c>
      <c r="O126" s="8">
        <v>99</v>
      </c>
      <c r="P126" s="8"/>
      <c r="Q126" s="5">
        <v>-107.1478893</v>
      </c>
      <c r="R126" s="5">
        <v>37.4883409</v>
      </c>
      <c r="S126" s="5" t="s">
        <v>3866</v>
      </c>
      <c r="T126" s="5" t="s">
        <v>3867</v>
      </c>
      <c r="U126" s="8"/>
      <c r="V126" s="8"/>
      <c r="W126" s="8" t="s">
        <v>2966</v>
      </c>
      <c r="X126" s="8" t="s">
        <v>3868</v>
      </c>
    </row>
    <row r="127" spans="1:24" ht="33.75">
      <c r="A127" s="5" t="s">
        <v>3869</v>
      </c>
      <c r="B127" s="5" t="s">
        <v>3870</v>
      </c>
      <c r="C127" s="6" t="s">
        <v>3871</v>
      </c>
      <c r="D127" s="6"/>
      <c r="E127" s="6"/>
      <c r="F127" s="5" t="s">
        <v>3588</v>
      </c>
      <c r="G127" s="5"/>
      <c r="H127" s="6" t="s">
        <v>3699</v>
      </c>
      <c r="I127" s="5">
        <v>2667</v>
      </c>
      <c r="J127" s="5">
        <v>8750</v>
      </c>
      <c r="K127" s="7" t="str">
        <f>HYPERLINK("http://www.centcols.org/util/geo/visuGen.php?code=US-CO-2667","US-CO-2667")</f>
        <v>US-CO-2667</v>
      </c>
      <c r="L127" s="8" t="s">
        <v>3872</v>
      </c>
      <c r="M127" s="8" t="s">
        <v>3113</v>
      </c>
      <c r="N127" s="8">
        <v>10</v>
      </c>
      <c r="O127" s="8">
        <v>35</v>
      </c>
      <c r="P127" s="8"/>
      <c r="Q127" s="5">
        <v>-106.8134991</v>
      </c>
      <c r="R127" s="5">
        <v>38.7251009</v>
      </c>
      <c r="S127" s="5" t="s">
        <v>3873</v>
      </c>
      <c r="T127" s="5" t="s">
        <v>3874</v>
      </c>
      <c r="U127" s="9" t="s">
        <v>3875</v>
      </c>
      <c r="V127" s="8"/>
      <c r="W127" s="8" t="s">
        <v>2966</v>
      </c>
      <c r="X127" s="8" t="s">
        <v>3696</v>
      </c>
    </row>
    <row r="128" spans="1:24" ht="33.75">
      <c r="A128" s="5" t="s">
        <v>3876</v>
      </c>
      <c r="B128" s="5" t="s">
        <v>3877</v>
      </c>
      <c r="C128" s="6" t="s">
        <v>3878</v>
      </c>
      <c r="D128" s="6"/>
      <c r="E128" s="6"/>
      <c r="F128" s="5" t="s">
        <v>3588</v>
      </c>
      <c r="G128" s="5"/>
      <c r="H128" s="6" t="s">
        <v>3749</v>
      </c>
      <c r="I128" s="5">
        <v>2686</v>
      </c>
      <c r="J128" s="5">
        <v>8812</v>
      </c>
      <c r="K128" s="7" t="str">
        <f>HYPERLINK("http://www.centcols.org/util/geo/visuGen.php?code=US-CO-2686","US-CO-2686")</f>
        <v>US-CO-2686</v>
      </c>
      <c r="L128" s="8" t="s">
        <v>3879</v>
      </c>
      <c r="M128" s="8" t="s">
        <v>2962</v>
      </c>
      <c r="N128" s="8">
        <v>20</v>
      </c>
      <c r="O128" s="8">
        <v>99</v>
      </c>
      <c r="P128" s="8"/>
      <c r="Q128" s="5">
        <v>-105.5663293</v>
      </c>
      <c r="R128" s="5">
        <v>40.4041306</v>
      </c>
      <c r="S128" s="5" t="s">
        <v>3880</v>
      </c>
      <c r="T128" s="5" t="s">
        <v>3881</v>
      </c>
      <c r="U128" s="9" t="s">
        <v>3882</v>
      </c>
      <c r="V128" s="8"/>
      <c r="W128" s="8" t="s">
        <v>2966</v>
      </c>
      <c r="X128" s="8" t="s">
        <v>3696</v>
      </c>
    </row>
    <row r="129" spans="1:24" ht="11.25">
      <c r="A129" s="5" t="s">
        <v>3883</v>
      </c>
      <c r="B129" s="5" t="s">
        <v>3884</v>
      </c>
      <c r="C129" s="6" t="s">
        <v>3885</v>
      </c>
      <c r="D129" s="6"/>
      <c r="E129" s="6"/>
      <c r="F129" s="5" t="s">
        <v>3588</v>
      </c>
      <c r="G129" s="5"/>
      <c r="H129" s="6" t="s">
        <v>3742</v>
      </c>
      <c r="I129" s="5">
        <v>2757</v>
      </c>
      <c r="J129" s="5">
        <v>9045</v>
      </c>
      <c r="K129" s="7" t="str">
        <f>HYPERLINK("http://www.centcols.org/util/geo/visuGen.php?code=US-CO-2757","US-CO-2757")</f>
        <v>US-CO-2757</v>
      </c>
      <c r="L129" s="8" t="s">
        <v>3743</v>
      </c>
      <c r="M129" s="8" t="s">
        <v>3222</v>
      </c>
      <c r="N129" s="8">
        <v>15</v>
      </c>
      <c r="O129" s="8">
        <v>99</v>
      </c>
      <c r="P129" s="8"/>
      <c r="Q129" s="5">
        <v>-107.0747191</v>
      </c>
      <c r="R129" s="5">
        <v>39.5496809</v>
      </c>
      <c r="S129" s="5" t="s">
        <v>3886</v>
      </c>
      <c r="T129" s="5" t="s">
        <v>3887</v>
      </c>
      <c r="U129" s="8"/>
      <c r="V129" s="8"/>
      <c r="W129" s="8" t="s">
        <v>2966</v>
      </c>
      <c r="X129" s="8" t="s">
        <v>3888</v>
      </c>
    </row>
    <row r="130" spans="1:24" ht="22.5">
      <c r="A130" s="5" t="s">
        <v>3890</v>
      </c>
      <c r="B130" s="5" t="s">
        <v>3891</v>
      </c>
      <c r="C130" s="6" t="s">
        <v>3892</v>
      </c>
      <c r="D130" s="6"/>
      <c r="E130" s="6"/>
      <c r="F130" s="5" t="s">
        <v>3588</v>
      </c>
      <c r="G130" s="5"/>
      <c r="H130" s="6" t="s">
        <v>3889</v>
      </c>
      <c r="I130" s="5">
        <v>2823</v>
      </c>
      <c r="J130" s="5">
        <v>9262</v>
      </c>
      <c r="K130" s="7" t="str">
        <f>HYPERLINK("http://www.centcols.org/util/geo/visuGen.php?code=US-CO-2823","US-CO-2823")</f>
        <v>US-CO-2823</v>
      </c>
      <c r="L130" s="8" t="s">
        <v>3893</v>
      </c>
      <c r="M130" s="9" t="s">
        <v>3894</v>
      </c>
      <c r="N130" s="8">
        <v>10</v>
      </c>
      <c r="O130" s="8">
        <v>35</v>
      </c>
      <c r="P130" s="8"/>
      <c r="Q130" s="5">
        <v>-105.325369</v>
      </c>
      <c r="R130" s="5">
        <v>38.1119407</v>
      </c>
      <c r="S130" s="5" t="s">
        <v>3895</v>
      </c>
      <c r="T130" s="5" t="s">
        <v>3896</v>
      </c>
      <c r="U130" s="9" t="s">
        <v>3897</v>
      </c>
      <c r="V130" s="8"/>
      <c r="W130" s="8" t="s">
        <v>2966</v>
      </c>
      <c r="X130" s="8" t="s">
        <v>3696</v>
      </c>
    </row>
    <row r="131" spans="1:24" ht="22.5">
      <c r="A131" s="5" t="s">
        <v>3898</v>
      </c>
      <c r="B131" s="5" t="s">
        <v>3899</v>
      </c>
      <c r="C131" s="6" t="s">
        <v>3900</v>
      </c>
      <c r="D131" s="6"/>
      <c r="E131" s="6"/>
      <c r="F131" s="5" t="s">
        <v>3588</v>
      </c>
      <c r="G131" s="5"/>
      <c r="H131" s="6" t="s">
        <v>3826</v>
      </c>
      <c r="I131" s="5">
        <v>2865</v>
      </c>
      <c r="J131" s="5">
        <v>9399</v>
      </c>
      <c r="K131" s="7" t="str">
        <f>HYPERLINK("http://www.centcols.org/util/geo/visuGen.php?code=US-CO-2865","US-CO-2865")</f>
        <v>US-CO-2865</v>
      </c>
      <c r="L131" s="8" t="s">
        <v>3901</v>
      </c>
      <c r="M131" s="8" t="s">
        <v>3113</v>
      </c>
      <c r="N131" s="8">
        <v>10</v>
      </c>
      <c r="O131" s="8">
        <v>35</v>
      </c>
      <c r="P131" s="8"/>
      <c r="Q131" s="5">
        <v>-107.5363211</v>
      </c>
      <c r="R131" s="5">
        <v>39.2329254</v>
      </c>
      <c r="S131" s="5" t="s">
        <v>3902</v>
      </c>
      <c r="T131" s="5" t="s">
        <v>3903</v>
      </c>
      <c r="U131" s="9" t="s">
        <v>3904</v>
      </c>
      <c r="V131" s="8"/>
      <c r="W131" s="8" t="s">
        <v>2966</v>
      </c>
      <c r="X131" s="8" t="s">
        <v>3696</v>
      </c>
    </row>
    <row r="132" spans="1:24" ht="11.25">
      <c r="A132" s="5" t="s">
        <v>3905</v>
      </c>
      <c r="B132" s="5" t="s">
        <v>3906</v>
      </c>
      <c r="C132" s="6" t="s">
        <v>3907</v>
      </c>
      <c r="D132" s="6"/>
      <c r="E132" s="6"/>
      <c r="F132" s="5" t="s">
        <v>3588</v>
      </c>
      <c r="G132" s="5"/>
      <c r="H132" s="6" t="s">
        <v>3908</v>
      </c>
      <c r="I132" s="5">
        <v>2871</v>
      </c>
      <c r="J132" s="5">
        <v>9419</v>
      </c>
      <c r="K132" s="7" t="str">
        <f>HYPERLINK("http://www.centcols.org/util/geo/visuGen.php?code=US-CO-2871","US-CO-2871")</f>
        <v>US-CO-2871</v>
      </c>
      <c r="L132" s="8" t="s">
        <v>3909</v>
      </c>
      <c r="M132" s="9" t="s">
        <v>3910</v>
      </c>
      <c r="N132" s="8">
        <v>0</v>
      </c>
      <c r="O132" s="8">
        <v>0</v>
      </c>
      <c r="P132" s="8"/>
      <c r="Q132" s="5">
        <v>-105.1597592</v>
      </c>
      <c r="R132" s="5">
        <v>38.8999608</v>
      </c>
      <c r="S132" s="5" t="s">
        <v>3911</v>
      </c>
      <c r="T132" s="5" t="s">
        <v>3912</v>
      </c>
      <c r="U132" s="8"/>
      <c r="V132" s="8"/>
      <c r="W132" s="8" t="s">
        <v>2966</v>
      </c>
      <c r="X132" s="8" t="s">
        <v>2967</v>
      </c>
    </row>
    <row r="133" spans="1:24" ht="22.5">
      <c r="A133" s="5" t="s">
        <v>3913</v>
      </c>
      <c r="B133" s="5" t="s">
        <v>3914</v>
      </c>
      <c r="C133" s="6" t="s">
        <v>3915</v>
      </c>
      <c r="D133" s="6"/>
      <c r="E133" s="6"/>
      <c r="F133" s="5" t="s">
        <v>3588</v>
      </c>
      <c r="G133" s="5"/>
      <c r="H133" s="6" t="s">
        <v>3677</v>
      </c>
      <c r="I133" s="5">
        <v>2880</v>
      </c>
      <c r="J133" s="5">
        <v>9449</v>
      </c>
      <c r="K133" s="7" t="str">
        <f>HYPERLINK("http://www.centcols.org/util/geo/visuGen.php?code=US-CO-2880","US-CO-2880")</f>
        <v>US-CO-2880</v>
      </c>
      <c r="L133" s="8" t="s">
        <v>3916</v>
      </c>
      <c r="M133" s="8" t="s">
        <v>3113</v>
      </c>
      <c r="N133" s="8">
        <v>10</v>
      </c>
      <c r="O133" s="8">
        <v>35</v>
      </c>
      <c r="P133" s="8"/>
      <c r="Q133" s="5">
        <v>-108.5315026</v>
      </c>
      <c r="R133" s="5">
        <v>38.4519875</v>
      </c>
      <c r="S133" s="5" t="s">
        <v>3917</v>
      </c>
      <c r="T133" s="5" t="s">
        <v>3918</v>
      </c>
      <c r="U133" s="9" t="s">
        <v>3904</v>
      </c>
      <c r="V133" s="8"/>
      <c r="W133" s="8" t="s">
        <v>2966</v>
      </c>
      <c r="X133" s="8" t="s">
        <v>3696</v>
      </c>
    </row>
    <row r="134" spans="1:24" ht="33.75">
      <c r="A134" s="5" t="s">
        <v>3919</v>
      </c>
      <c r="B134" s="5" t="s">
        <v>3920</v>
      </c>
      <c r="C134" s="6" t="s">
        <v>3921</v>
      </c>
      <c r="D134" s="6"/>
      <c r="E134" s="6"/>
      <c r="F134" s="5" t="s">
        <v>3588</v>
      </c>
      <c r="G134" s="5"/>
      <c r="H134" s="6" t="s">
        <v>3922</v>
      </c>
      <c r="I134" s="5">
        <v>2884</v>
      </c>
      <c r="J134" s="5">
        <v>9462</v>
      </c>
      <c r="K134" s="7" t="str">
        <f>HYPERLINK("http://www.centcols.org/util/geo/visuGen.php?code=US-CO-2884","US-CO-2884")</f>
        <v>US-CO-2884</v>
      </c>
      <c r="L134" s="8" t="s">
        <v>3923</v>
      </c>
      <c r="M134" s="8" t="s">
        <v>2988</v>
      </c>
      <c r="N134" s="8">
        <v>10</v>
      </c>
      <c r="O134" s="8">
        <v>35</v>
      </c>
      <c r="P134" s="8"/>
      <c r="Q134" s="5">
        <v>-105.3209492</v>
      </c>
      <c r="R134" s="5">
        <v>37.6467709</v>
      </c>
      <c r="S134" s="5" t="s">
        <v>3924</v>
      </c>
      <c r="T134" s="5" t="s">
        <v>3925</v>
      </c>
      <c r="U134" s="9" t="s">
        <v>3926</v>
      </c>
      <c r="V134" s="8"/>
      <c r="W134" s="8" t="s">
        <v>2966</v>
      </c>
      <c r="X134" s="8" t="s">
        <v>3696</v>
      </c>
    </row>
    <row r="135" spans="1:24" ht="22.5">
      <c r="A135" s="5" t="s">
        <v>3927</v>
      </c>
      <c r="B135" s="5" t="s">
        <v>3928</v>
      </c>
      <c r="C135" s="6" t="s">
        <v>3929</v>
      </c>
      <c r="D135" s="6"/>
      <c r="E135" s="6"/>
      <c r="F135" s="5" t="s">
        <v>3588</v>
      </c>
      <c r="G135" s="5"/>
      <c r="H135" s="6" t="s">
        <v>3908</v>
      </c>
      <c r="I135" s="5">
        <v>2907</v>
      </c>
      <c r="J135" s="5">
        <v>9537</v>
      </c>
      <c r="K135" s="7" t="str">
        <f>HYPERLINK("http://www.centcols.org/util/geo/visuGen.php?code=US-CO-2907","US-CO-2907")</f>
        <v>US-CO-2907</v>
      </c>
      <c r="L135" s="8" t="s">
        <v>3930</v>
      </c>
      <c r="M135" s="9" t="s">
        <v>3931</v>
      </c>
      <c r="N135" s="8">
        <v>0</v>
      </c>
      <c r="O135" s="8">
        <v>0</v>
      </c>
      <c r="P135" s="8"/>
      <c r="Q135" s="5">
        <v>-105.1649191</v>
      </c>
      <c r="R135" s="5">
        <v>38.7221512</v>
      </c>
      <c r="S135" s="5" t="s">
        <v>3932</v>
      </c>
      <c r="T135" s="5" t="s">
        <v>3933</v>
      </c>
      <c r="U135" s="8"/>
      <c r="V135" s="8"/>
      <c r="W135" s="8" t="s">
        <v>2966</v>
      </c>
      <c r="X135" s="8" t="s">
        <v>2967</v>
      </c>
    </row>
    <row r="136" spans="1:24" ht="22.5">
      <c r="A136" s="5" t="s">
        <v>3934</v>
      </c>
      <c r="B136" s="5" t="s">
        <v>3935</v>
      </c>
      <c r="C136" s="6" t="s">
        <v>3936</v>
      </c>
      <c r="D136" s="6"/>
      <c r="E136" s="6"/>
      <c r="F136" s="5" t="s">
        <v>3588</v>
      </c>
      <c r="G136" s="5"/>
      <c r="H136" s="6" t="s">
        <v>3922</v>
      </c>
      <c r="I136" s="5">
        <v>2925</v>
      </c>
      <c r="J136" s="5">
        <v>9596</v>
      </c>
      <c r="K136" s="7" t="str">
        <f>HYPERLINK("http://www.centcols.org/util/geo/visuGen.php?code=US-CO-2925","US-CO-2925")</f>
        <v>US-CO-2925</v>
      </c>
      <c r="L136" s="8" t="s">
        <v>3937</v>
      </c>
      <c r="M136" s="8" t="s">
        <v>3113</v>
      </c>
      <c r="N136" s="8">
        <v>10</v>
      </c>
      <c r="O136" s="8">
        <v>35</v>
      </c>
      <c r="P136" s="8"/>
      <c r="Q136" s="5">
        <v>-105.1576754</v>
      </c>
      <c r="R136" s="5">
        <v>37.4573959</v>
      </c>
      <c r="S136" s="5" t="s">
        <v>3938</v>
      </c>
      <c r="T136" s="5" t="s">
        <v>3939</v>
      </c>
      <c r="U136" s="9" t="s">
        <v>3940</v>
      </c>
      <c r="V136" s="8"/>
      <c r="W136" s="8" t="s">
        <v>2966</v>
      </c>
      <c r="X136" s="8" t="s">
        <v>3696</v>
      </c>
    </row>
    <row r="137" spans="1:24" ht="11.25">
      <c r="A137" s="5" t="s">
        <v>3941</v>
      </c>
      <c r="B137" s="5" t="s">
        <v>3942</v>
      </c>
      <c r="C137" s="6" t="s">
        <v>3943</v>
      </c>
      <c r="D137" s="6"/>
      <c r="E137" s="6"/>
      <c r="F137" s="5" t="s">
        <v>3588</v>
      </c>
      <c r="G137" s="5"/>
      <c r="H137" s="6" t="s">
        <v>3864</v>
      </c>
      <c r="I137" s="5">
        <v>2927</v>
      </c>
      <c r="J137" s="5">
        <v>9603</v>
      </c>
      <c r="K137" s="7" t="str">
        <f>HYPERLINK("http://www.centcols.org/util/geo/visuGen.php?code=US-CO-2927","US-CO-2927")</f>
        <v>US-CO-2927</v>
      </c>
      <c r="L137" s="8" t="s">
        <v>3944</v>
      </c>
      <c r="M137" s="8" t="s">
        <v>3113</v>
      </c>
      <c r="N137" s="8">
        <v>10</v>
      </c>
      <c r="O137" s="8">
        <v>35</v>
      </c>
      <c r="P137" s="8"/>
      <c r="Q137" s="5">
        <v>-107.2138093</v>
      </c>
      <c r="R137" s="5">
        <v>37.7389306</v>
      </c>
      <c r="S137" s="5" t="s">
        <v>3945</v>
      </c>
      <c r="T137" s="5" t="s">
        <v>3946</v>
      </c>
      <c r="U137" s="8"/>
      <c r="V137" s="8"/>
      <c r="W137" s="8" t="s">
        <v>2966</v>
      </c>
      <c r="X137" s="8" t="s">
        <v>2967</v>
      </c>
    </row>
    <row r="138" spans="1:24" ht="22.5">
      <c r="A138" s="5" t="s">
        <v>3947</v>
      </c>
      <c r="B138" s="5" t="s">
        <v>3948</v>
      </c>
      <c r="C138" s="6" t="s">
        <v>3949</v>
      </c>
      <c r="D138" s="6"/>
      <c r="E138" s="6"/>
      <c r="F138" s="5" t="s">
        <v>3588</v>
      </c>
      <c r="G138" s="5"/>
      <c r="H138" s="6" t="s">
        <v>3826</v>
      </c>
      <c r="I138" s="5">
        <v>2930</v>
      </c>
      <c r="J138" s="5">
        <v>9613</v>
      </c>
      <c r="K138" s="7" t="str">
        <f>HYPERLINK("http://www.centcols.org/util/geo/visuGen.php?code=US-CO-2930","US-CO-2930")</f>
        <v>US-CO-2930</v>
      </c>
      <c r="L138" s="8" t="s">
        <v>3950</v>
      </c>
      <c r="M138" s="8" t="s">
        <v>3113</v>
      </c>
      <c r="N138" s="8">
        <v>10</v>
      </c>
      <c r="O138" s="8">
        <v>35</v>
      </c>
      <c r="P138" s="8"/>
      <c r="Q138" s="5">
        <v>-108.5888191</v>
      </c>
      <c r="R138" s="5">
        <v>38.5053707</v>
      </c>
      <c r="S138" s="5" t="s">
        <v>3951</v>
      </c>
      <c r="T138" s="5" t="s">
        <v>3952</v>
      </c>
      <c r="U138" s="9" t="s">
        <v>3953</v>
      </c>
      <c r="V138" s="8"/>
      <c r="W138" s="8" t="s">
        <v>2966</v>
      </c>
      <c r="X138" s="8" t="s">
        <v>3696</v>
      </c>
    </row>
    <row r="139" spans="1:24" ht="33.75">
      <c r="A139" s="5" t="s">
        <v>3954</v>
      </c>
      <c r="B139" s="5" t="s">
        <v>3955</v>
      </c>
      <c r="C139" s="6" t="s">
        <v>3956</v>
      </c>
      <c r="D139" s="6"/>
      <c r="E139" s="6"/>
      <c r="F139" s="5" t="s">
        <v>3588</v>
      </c>
      <c r="G139" s="5"/>
      <c r="H139" s="6" t="s">
        <v>3957</v>
      </c>
      <c r="I139" s="5">
        <v>2949</v>
      </c>
      <c r="J139" s="5">
        <v>9675</v>
      </c>
      <c r="K139" s="7" t="str">
        <f>HYPERLINK("http://www.centcols.org/util/geo/visuGen.php?code=US-CO-2949","US-CO-2949")</f>
        <v>US-CO-2949</v>
      </c>
      <c r="L139" s="8" t="s">
        <v>3958</v>
      </c>
      <c r="M139" s="8" t="s">
        <v>3113</v>
      </c>
      <c r="N139" s="8">
        <v>10</v>
      </c>
      <c r="O139" s="8">
        <v>35</v>
      </c>
      <c r="P139" s="8"/>
      <c r="Q139" s="5">
        <v>-105.9380593</v>
      </c>
      <c r="R139" s="5">
        <v>38.7552808</v>
      </c>
      <c r="S139" s="5" t="s">
        <v>3959</v>
      </c>
      <c r="T139" s="5" t="s">
        <v>3960</v>
      </c>
      <c r="U139" s="9" t="s">
        <v>3777</v>
      </c>
      <c r="V139" s="8"/>
      <c r="W139" s="8" t="s">
        <v>2966</v>
      </c>
      <c r="X139" s="8" t="s">
        <v>3696</v>
      </c>
    </row>
    <row r="140" spans="1:24" ht="33.75">
      <c r="A140" s="5" t="s">
        <v>3961</v>
      </c>
      <c r="B140" s="5" t="s">
        <v>3962</v>
      </c>
      <c r="C140" s="6" t="s">
        <v>3963</v>
      </c>
      <c r="D140" s="6"/>
      <c r="E140" s="6"/>
      <c r="F140" s="5" t="s">
        <v>3588</v>
      </c>
      <c r="G140" s="5"/>
      <c r="H140" s="6" t="s">
        <v>3964</v>
      </c>
      <c r="I140" s="5">
        <v>2963</v>
      </c>
      <c r="J140" s="5">
        <v>9721</v>
      </c>
      <c r="K140" s="7" t="str">
        <f>HYPERLINK("http://www.centcols.org/util/geo/visuGen.php?code=US-CO-2963","US-CO-2963")</f>
        <v>US-CO-2963</v>
      </c>
      <c r="L140" s="8" t="s">
        <v>3965</v>
      </c>
      <c r="M140" s="8" t="s">
        <v>3113</v>
      </c>
      <c r="N140" s="8">
        <v>10</v>
      </c>
      <c r="O140" s="8">
        <v>35</v>
      </c>
      <c r="P140" s="8"/>
      <c r="Q140" s="5">
        <v>-106.0441291</v>
      </c>
      <c r="R140" s="5">
        <v>38.9417708</v>
      </c>
      <c r="S140" s="5" t="s">
        <v>3966</v>
      </c>
      <c r="T140" s="5" t="s">
        <v>3967</v>
      </c>
      <c r="U140" s="9" t="s">
        <v>3777</v>
      </c>
      <c r="V140" s="8"/>
      <c r="W140" s="8" t="s">
        <v>2966</v>
      </c>
      <c r="X140" s="8" t="s">
        <v>3696</v>
      </c>
    </row>
    <row r="141" spans="1:24" ht="11.25">
      <c r="A141" s="5" t="s">
        <v>3968</v>
      </c>
      <c r="B141" s="5" t="s">
        <v>3969</v>
      </c>
      <c r="C141" s="6" t="s">
        <v>3706</v>
      </c>
      <c r="D141" s="6"/>
      <c r="E141" s="6"/>
      <c r="F141" s="5" t="s">
        <v>3588</v>
      </c>
      <c r="G141" s="5"/>
      <c r="H141" s="6" t="s">
        <v>2995</v>
      </c>
      <c r="I141" s="5">
        <v>2975</v>
      </c>
      <c r="J141" s="5">
        <v>9760</v>
      </c>
      <c r="K141" s="7" t="str">
        <f>HYPERLINK("http://www.centcols.org/util/geo/visuGen.php?code=US-CO-2975","US-CO-2975")</f>
        <v>US-CO-2975</v>
      </c>
      <c r="L141" s="8" t="s">
        <v>3970</v>
      </c>
      <c r="M141" s="8" t="s">
        <v>3113</v>
      </c>
      <c r="N141" s="8">
        <v>10</v>
      </c>
      <c r="O141" s="8">
        <v>35</v>
      </c>
      <c r="P141" s="8"/>
      <c r="Q141" s="5">
        <v>-105.7458794</v>
      </c>
      <c r="R141" s="5">
        <v>39.238721</v>
      </c>
      <c r="S141" s="5" t="s">
        <v>3971</v>
      </c>
      <c r="T141" s="5" t="s">
        <v>3972</v>
      </c>
      <c r="U141" s="8"/>
      <c r="V141" s="8"/>
      <c r="W141" s="8" t="s">
        <v>2966</v>
      </c>
      <c r="X141" s="8" t="s">
        <v>3888</v>
      </c>
    </row>
    <row r="142" spans="1:24" ht="11.25">
      <c r="A142" s="5" t="s">
        <v>3973</v>
      </c>
      <c r="B142" s="5" t="s">
        <v>3974</v>
      </c>
      <c r="C142" s="6" t="s">
        <v>3721</v>
      </c>
      <c r="D142" s="6"/>
      <c r="E142" s="6"/>
      <c r="F142" s="5" t="s">
        <v>3588</v>
      </c>
      <c r="G142" s="5"/>
      <c r="H142" s="6" t="s">
        <v>3626</v>
      </c>
      <c r="I142" s="5">
        <v>2985</v>
      </c>
      <c r="J142" s="5">
        <v>9793</v>
      </c>
      <c r="K142" s="7" t="str">
        <f>HYPERLINK("http://www.centcols.org/util/geo/visuGen.php?code=US-CO-2985","US-CO-2985")</f>
        <v>US-CO-2985</v>
      </c>
      <c r="L142" s="8" t="s">
        <v>3722</v>
      </c>
      <c r="M142" s="8" t="s">
        <v>2988</v>
      </c>
      <c r="N142" s="8">
        <v>10</v>
      </c>
      <c r="O142" s="8">
        <v>35</v>
      </c>
      <c r="P142" s="8"/>
      <c r="Q142" s="5">
        <v>-107.1428793</v>
      </c>
      <c r="R142" s="5">
        <v>40.1556009</v>
      </c>
      <c r="S142" s="5" t="s">
        <v>3975</v>
      </c>
      <c r="T142" s="5" t="s">
        <v>3976</v>
      </c>
      <c r="U142" s="8"/>
      <c r="V142" s="8"/>
      <c r="W142" s="8" t="s">
        <v>2966</v>
      </c>
      <c r="X142" s="8" t="s">
        <v>3977</v>
      </c>
    </row>
    <row r="143" spans="1:24" ht="22.5">
      <c r="A143" s="5" t="s">
        <v>3978</v>
      </c>
      <c r="B143" s="5" t="s">
        <v>3979</v>
      </c>
      <c r="C143" s="6" t="s">
        <v>3980</v>
      </c>
      <c r="D143" s="6"/>
      <c r="E143" s="6"/>
      <c r="F143" s="5" t="s">
        <v>3588</v>
      </c>
      <c r="G143" s="5"/>
      <c r="H143" s="6" t="s">
        <v>3699</v>
      </c>
      <c r="I143" s="5">
        <v>3091</v>
      </c>
      <c r="J143" s="5">
        <v>10141</v>
      </c>
      <c r="K143" s="7" t="str">
        <f>HYPERLINK("http://www.centcols.org/util/geo/visuGen.php?code=US-CO-3091","US-CO-3091")</f>
        <v>US-CO-3091</v>
      </c>
      <c r="L143" s="8" t="s">
        <v>3981</v>
      </c>
      <c r="M143" s="8" t="s">
        <v>3222</v>
      </c>
      <c r="N143" s="8">
        <v>15</v>
      </c>
      <c r="O143" s="8">
        <v>99</v>
      </c>
      <c r="P143" s="8" t="s">
        <v>3338</v>
      </c>
      <c r="Q143" s="5">
        <v>-107.4055592</v>
      </c>
      <c r="R143" s="5">
        <v>38.724171</v>
      </c>
      <c r="S143" s="5" t="s">
        <v>3982</v>
      </c>
      <c r="T143" s="5" t="s">
        <v>3983</v>
      </c>
      <c r="U143" s="9" t="s">
        <v>3953</v>
      </c>
      <c r="V143" s="8" t="s">
        <v>3984</v>
      </c>
      <c r="W143" s="8" t="s">
        <v>2966</v>
      </c>
      <c r="X143" s="8" t="s">
        <v>3696</v>
      </c>
    </row>
    <row r="144" spans="1:24" ht="11.25">
      <c r="A144" s="5" t="s">
        <v>3985</v>
      </c>
      <c r="B144" s="5" t="s">
        <v>3986</v>
      </c>
      <c r="C144" s="6" t="s">
        <v>3987</v>
      </c>
      <c r="D144" s="6"/>
      <c r="E144" s="6"/>
      <c r="F144" s="5" t="s">
        <v>3588</v>
      </c>
      <c r="G144" s="5"/>
      <c r="H144" s="6" t="s">
        <v>3908</v>
      </c>
      <c r="I144" s="5">
        <v>3130</v>
      </c>
      <c r="J144" s="5">
        <v>10269</v>
      </c>
      <c r="K144" s="7" t="str">
        <f>HYPERLINK("http://www.centcols.org/util/geo/visuGen.php?code=US-CO-3130","US-CO-3130")</f>
        <v>US-CO-3130</v>
      </c>
      <c r="L144" s="8" t="s">
        <v>3988</v>
      </c>
      <c r="M144" s="8" t="s">
        <v>2988</v>
      </c>
      <c r="N144" s="8">
        <v>10</v>
      </c>
      <c r="O144" s="8">
        <v>35</v>
      </c>
      <c r="P144" s="8"/>
      <c r="Q144" s="5">
        <v>-105.1116794</v>
      </c>
      <c r="R144" s="5">
        <v>38.7252706</v>
      </c>
      <c r="S144" s="5" t="s">
        <v>3989</v>
      </c>
      <c r="T144" s="5" t="s">
        <v>3990</v>
      </c>
      <c r="U144" s="8"/>
      <c r="V144" s="8"/>
      <c r="W144" s="8" t="s">
        <v>2966</v>
      </c>
      <c r="X144" s="8" t="s">
        <v>3085</v>
      </c>
    </row>
    <row r="145" spans="1:24" ht="11.25">
      <c r="A145" s="5" t="s">
        <v>3991</v>
      </c>
      <c r="B145" s="5" t="s">
        <v>3992</v>
      </c>
      <c r="C145" s="6" t="s">
        <v>3993</v>
      </c>
      <c r="D145" s="6"/>
      <c r="E145" s="6"/>
      <c r="F145" s="5" t="s">
        <v>3588</v>
      </c>
      <c r="G145" s="5"/>
      <c r="H145" s="6" t="s">
        <v>3994</v>
      </c>
      <c r="I145" s="5">
        <v>3140</v>
      </c>
      <c r="J145" s="5">
        <v>10302</v>
      </c>
      <c r="K145" s="7" t="str">
        <f>HYPERLINK("http://www.centcols.org/util/geo/visuGen.php?code=US-CO-3140","US-CO-3140")</f>
        <v>US-CO-3140</v>
      </c>
      <c r="L145" s="8" t="s">
        <v>3995</v>
      </c>
      <c r="M145" s="8" t="s">
        <v>2988</v>
      </c>
      <c r="N145" s="8">
        <v>10</v>
      </c>
      <c r="O145" s="8">
        <v>35</v>
      </c>
      <c r="P145" s="8"/>
      <c r="Q145" s="5">
        <v>-107.7274401</v>
      </c>
      <c r="R145" s="5">
        <v>37.4555229</v>
      </c>
      <c r="S145" s="5" t="s">
        <v>3996</v>
      </c>
      <c r="T145" s="5" t="s">
        <v>3997</v>
      </c>
      <c r="U145" s="8"/>
      <c r="V145" s="8"/>
      <c r="W145" s="8" t="s">
        <v>2966</v>
      </c>
      <c r="X145" s="8" t="s">
        <v>3202</v>
      </c>
    </row>
    <row r="146" spans="1:24" ht="11.25">
      <c r="A146" s="5" t="s">
        <v>3998</v>
      </c>
      <c r="B146" s="5" t="s">
        <v>3999</v>
      </c>
      <c r="C146" s="6" t="s">
        <v>4000</v>
      </c>
      <c r="D146" s="6"/>
      <c r="E146" s="6"/>
      <c r="F146" s="5" t="s">
        <v>3588</v>
      </c>
      <c r="G146" s="5"/>
      <c r="H146" s="6" t="s">
        <v>3756</v>
      </c>
      <c r="I146" s="5">
        <v>3173</v>
      </c>
      <c r="J146" s="5">
        <v>10410</v>
      </c>
      <c r="K146" s="7" t="str">
        <f>HYPERLINK("http://www.centcols.org/util/geo/visuGen.php?code=US-CO-3173","US-CO-3173")</f>
        <v>US-CO-3173</v>
      </c>
      <c r="L146" s="8" t="s">
        <v>4001</v>
      </c>
      <c r="M146" s="8" t="s">
        <v>3222</v>
      </c>
      <c r="N146" s="8">
        <v>15</v>
      </c>
      <c r="O146" s="8">
        <v>99</v>
      </c>
      <c r="P146" s="8"/>
      <c r="Q146" s="5">
        <v>-105.5626994</v>
      </c>
      <c r="R146" s="5">
        <v>39.8477006</v>
      </c>
      <c r="S146" s="5" t="s">
        <v>4002</v>
      </c>
      <c r="T146" s="5" t="s">
        <v>4003</v>
      </c>
      <c r="U146" s="8"/>
      <c r="V146" s="8"/>
      <c r="W146" s="8" t="s">
        <v>2966</v>
      </c>
      <c r="X146" s="8" t="s">
        <v>3202</v>
      </c>
    </row>
    <row r="147" spans="1:24" ht="22.5">
      <c r="A147" s="5" t="s">
        <v>4004</v>
      </c>
      <c r="B147" s="5" t="s">
        <v>4005</v>
      </c>
      <c r="C147" s="6" t="s">
        <v>4006</v>
      </c>
      <c r="D147" s="6"/>
      <c r="E147" s="6"/>
      <c r="F147" s="5" t="s">
        <v>3588</v>
      </c>
      <c r="G147" s="5"/>
      <c r="H147" s="6" t="s">
        <v>4007</v>
      </c>
      <c r="I147" s="5">
        <v>3180</v>
      </c>
      <c r="J147" s="5">
        <v>10433</v>
      </c>
      <c r="K147" s="7" t="str">
        <f>HYPERLINK("http://www.centcols.org/util/geo/visuGen.php?code=US-CO-3180","US-CO-3180")</f>
        <v>US-CO-3180</v>
      </c>
      <c r="L147" s="8" t="s">
        <v>4008</v>
      </c>
      <c r="M147" s="8" t="s">
        <v>3222</v>
      </c>
      <c r="N147" s="8">
        <v>15</v>
      </c>
      <c r="O147" s="8">
        <v>99</v>
      </c>
      <c r="P147" s="8"/>
      <c r="Q147" s="5">
        <v>-107.9679631</v>
      </c>
      <c r="R147" s="5">
        <v>37.6404272</v>
      </c>
      <c r="S147" s="5" t="s">
        <v>4009</v>
      </c>
      <c r="T147" s="5" t="s">
        <v>4010</v>
      </c>
      <c r="U147" s="9" t="s">
        <v>3904</v>
      </c>
      <c r="V147" s="8"/>
      <c r="W147" s="8" t="s">
        <v>2966</v>
      </c>
      <c r="X147" s="8" t="s">
        <v>3696</v>
      </c>
    </row>
    <row r="148" spans="1:24" ht="22.5">
      <c r="A148" s="5" t="s">
        <v>4011</v>
      </c>
      <c r="B148" s="5" t="s">
        <v>4012</v>
      </c>
      <c r="C148" s="6" t="s">
        <v>4013</v>
      </c>
      <c r="D148" s="6"/>
      <c r="E148" s="6"/>
      <c r="F148" s="5" t="s">
        <v>3588</v>
      </c>
      <c r="G148" s="5"/>
      <c r="H148" s="6" t="s">
        <v>4014</v>
      </c>
      <c r="I148" s="5">
        <v>3207</v>
      </c>
      <c r="J148" s="5">
        <v>10522</v>
      </c>
      <c r="K148" s="7" t="str">
        <f>HYPERLINK("http://www.centcols.org/util/geo/visuGen.php?code=US-CO-3207","US-CO-3207")</f>
        <v>US-CO-3207</v>
      </c>
      <c r="L148" s="8" t="s">
        <v>4015</v>
      </c>
      <c r="M148" s="8" t="s">
        <v>3113</v>
      </c>
      <c r="N148" s="8">
        <v>10</v>
      </c>
      <c r="O148" s="8">
        <v>35</v>
      </c>
      <c r="P148" s="8"/>
      <c r="Q148" s="5">
        <v>-106.1398699</v>
      </c>
      <c r="R148" s="5">
        <v>40.1913808</v>
      </c>
      <c r="S148" s="5" t="s">
        <v>4016</v>
      </c>
      <c r="T148" s="5" t="s">
        <v>4017</v>
      </c>
      <c r="U148" s="9" t="s">
        <v>4018</v>
      </c>
      <c r="V148" s="8"/>
      <c r="W148" s="8" t="s">
        <v>2966</v>
      </c>
      <c r="X148" s="8" t="s">
        <v>3696</v>
      </c>
    </row>
    <row r="149" spans="1:24" ht="11.25">
      <c r="A149" s="5" t="s">
        <v>4019</v>
      </c>
      <c r="B149" s="5" t="s">
        <v>4020</v>
      </c>
      <c r="C149" s="6" t="s">
        <v>4021</v>
      </c>
      <c r="D149" s="6"/>
      <c r="E149" s="6"/>
      <c r="F149" s="5" t="s">
        <v>3588</v>
      </c>
      <c r="G149" s="5"/>
      <c r="H149" s="6" t="s">
        <v>4022</v>
      </c>
      <c r="I149" s="5">
        <v>3250</v>
      </c>
      <c r="J149" s="5">
        <v>10663</v>
      </c>
      <c r="K149" s="7" t="str">
        <f>HYPERLINK("http://www.centcols.org/util/geo/visuGen.php?code=US-CO-3250","US-CO-3250")</f>
        <v>US-CO-3250</v>
      </c>
      <c r="L149" s="8" t="s">
        <v>4023</v>
      </c>
      <c r="M149" s="8" t="s">
        <v>3113</v>
      </c>
      <c r="N149" s="8">
        <v>10</v>
      </c>
      <c r="O149" s="8">
        <v>35</v>
      </c>
      <c r="P149" s="8"/>
      <c r="Q149" s="5">
        <v>-107.9515492</v>
      </c>
      <c r="R149" s="5">
        <v>38.0049405</v>
      </c>
      <c r="S149" s="5" t="s">
        <v>4024</v>
      </c>
      <c r="T149" s="5" t="s">
        <v>4025</v>
      </c>
      <c r="U149" s="8" t="s">
        <v>4026</v>
      </c>
      <c r="V149" s="8"/>
      <c r="W149" s="8" t="s">
        <v>2966</v>
      </c>
      <c r="X149" s="8" t="s">
        <v>3696</v>
      </c>
    </row>
    <row r="150" spans="1:24" ht="11.25">
      <c r="A150" s="5" t="s">
        <v>4027</v>
      </c>
      <c r="B150" s="5" t="s">
        <v>4028</v>
      </c>
      <c r="C150" s="6" t="s">
        <v>4029</v>
      </c>
      <c r="D150" s="6"/>
      <c r="E150" s="6"/>
      <c r="F150" s="5" t="s">
        <v>3588</v>
      </c>
      <c r="G150" s="5"/>
      <c r="H150" s="6" t="s">
        <v>4030</v>
      </c>
      <c r="I150" s="5">
        <v>3252</v>
      </c>
      <c r="J150" s="5">
        <v>10669</v>
      </c>
      <c r="K150" s="7" t="str">
        <f>HYPERLINK("http://www.centcols.org/util/geo/visuGen.php?code=US-CO-3252","US-CO-3252")</f>
        <v>US-CO-3252</v>
      </c>
      <c r="L150" s="8" t="s">
        <v>4031</v>
      </c>
      <c r="M150" s="8" t="s">
        <v>4032</v>
      </c>
      <c r="N150" s="8">
        <v>0</v>
      </c>
      <c r="O150" s="8">
        <v>0</v>
      </c>
      <c r="P150" s="8"/>
      <c r="Q150" s="5">
        <v>-105.5963879</v>
      </c>
      <c r="R150" s="5">
        <v>39.6566677</v>
      </c>
      <c r="S150" s="5" t="s">
        <v>4033</v>
      </c>
      <c r="T150" s="5" t="s">
        <v>4034</v>
      </c>
      <c r="U150" s="8"/>
      <c r="V150" s="8"/>
      <c r="W150" s="8" t="s">
        <v>2966</v>
      </c>
      <c r="X150" s="8" t="s">
        <v>3085</v>
      </c>
    </row>
    <row r="151" spans="1:24" ht="45">
      <c r="A151" s="5" t="s">
        <v>4035</v>
      </c>
      <c r="B151" s="5" t="s">
        <v>4036</v>
      </c>
      <c r="C151" s="6" t="s">
        <v>4037</v>
      </c>
      <c r="D151" s="6"/>
      <c r="E151" s="6" t="s">
        <v>4038</v>
      </c>
      <c r="F151" s="5" t="s">
        <v>3588</v>
      </c>
      <c r="G151" s="5"/>
      <c r="H151" s="6" t="s">
        <v>4039</v>
      </c>
      <c r="I151" s="5">
        <v>3254</v>
      </c>
      <c r="J151" s="5">
        <v>10676</v>
      </c>
      <c r="K151" s="7" t="str">
        <f>HYPERLINK("http://www.centcols.org/util/geo/visuGen.php?code=US-CO-3254","US-CO-3254")</f>
        <v>US-CO-3254</v>
      </c>
      <c r="L151" s="8" t="s">
        <v>4040</v>
      </c>
      <c r="M151" s="8" t="s">
        <v>3113</v>
      </c>
      <c r="N151" s="8">
        <v>10</v>
      </c>
      <c r="O151" s="8">
        <v>35</v>
      </c>
      <c r="P151" s="8"/>
      <c r="Q151" s="5">
        <v>-106.7047188</v>
      </c>
      <c r="R151" s="5">
        <v>38.0805606</v>
      </c>
      <c r="S151" s="5" t="s">
        <v>4041</v>
      </c>
      <c r="T151" s="5" t="s">
        <v>4042</v>
      </c>
      <c r="U151" s="9" t="s">
        <v>4043</v>
      </c>
      <c r="V151" s="8"/>
      <c r="W151" s="8" t="s">
        <v>2966</v>
      </c>
      <c r="X151" s="8" t="s">
        <v>3696</v>
      </c>
    </row>
    <row r="152" spans="1:24" ht="33.75">
      <c r="A152" s="5" t="s">
        <v>4044</v>
      </c>
      <c r="B152" s="5" t="s">
        <v>4045</v>
      </c>
      <c r="C152" s="6" t="s">
        <v>4046</v>
      </c>
      <c r="D152" s="6"/>
      <c r="E152" s="6"/>
      <c r="F152" s="5" t="s">
        <v>3588</v>
      </c>
      <c r="G152" s="5"/>
      <c r="H152" s="6" t="s">
        <v>3749</v>
      </c>
      <c r="I152" s="5">
        <v>3256</v>
      </c>
      <c r="J152" s="5">
        <v>10682</v>
      </c>
      <c r="K152" s="7" t="str">
        <f>HYPERLINK("http://www.centcols.org/util/geo/visuGen.php?code=US-CO-3256","US-CO-3256")</f>
        <v>US-CO-3256</v>
      </c>
      <c r="L152" s="8" t="s">
        <v>3879</v>
      </c>
      <c r="M152" s="8" t="s">
        <v>2962</v>
      </c>
      <c r="N152" s="8">
        <v>20</v>
      </c>
      <c r="O152" s="8">
        <v>99</v>
      </c>
      <c r="P152" s="8" t="s">
        <v>3338</v>
      </c>
      <c r="Q152" s="5">
        <v>-105.6177392</v>
      </c>
      <c r="R152" s="5">
        <v>40.4366009</v>
      </c>
      <c r="S152" s="5" t="s">
        <v>4047</v>
      </c>
      <c r="T152" s="5" t="s">
        <v>4048</v>
      </c>
      <c r="U152" s="9" t="s">
        <v>4049</v>
      </c>
      <c r="V152" s="8" t="s">
        <v>3815</v>
      </c>
      <c r="W152" s="8" t="s">
        <v>2966</v>
      </c>
      <c r="X152" s="8" t="s">
        <v>3696</v>
      </c>
    </row>
    <row r="153" spans="1:24" ht="22.5">
      <c r="A153" s="5" t="s">
        <v>4050</v>
      </c>
      <c r="B153" s="5" t="s">
        <v>4051</v>
      </c>
      <c r="C153" s="6" t="s">
        <v>4052</v>
      </c>
      <c r="D153" s="6"/>
      <c r="E153" s="6"/>
      <c r="F153" s="5" t="s">
        <v>3588</v>
      </c>
      <c r="G153" s="5"/>
      <c r="H153" s="6" t="s">
        <v>3834</v>
      </c>
      <c r="I153" s="5">
        <v>3267</v>
      </c>
      <c r="J153" s="5">
        <v>10718</v>
      </c>
      <c r="K153" s="7" t="str">
        <f>HYPERLINK("http://www.centcols.org/util/geo/visuGen.php?code=US-CO-3267","US-CO-3267")</f>
        <v>US-CO-3267</v>
      </c>
      <c r="L153" s="8" t="s">
        <v>4053</v>
      </c>
      <c r="M153" s="8" t="s">
        <v>3222</v>
      </c>
      <c r="N153" s="8">
        <v>15</v>
      </c>
      <c r="O153" s="8">
        <v>99</v>
      </c>
      <c r="P153" s="8"/>
      <c r="Q153" s="5">
        <v>-105.5244392</v>
      </c>
      <c r="R153" s="5">
        <v>39.5547207</v>
      </c>
      <c r="S153" s="5" t="s">
        <v>395</v>
      </c>
      <c r="T153" s="5" t="s">
        <v>396</v>
      </c>
      <c r="U153" s="9" t="s">
        <v>397</v>
      </c>
      <c r="V153" s="8"/>
      <c r="W153" s="8" t="s">
        <v>2966</v>
      </c>
      <c r="X153" s="8" t="s">
        <v>3638</v>
      </c>
    </row>
    <row r="154" spans="1:24" ht="45">
      <c r="A154" s="5" t="s">
        <v>398</v>
      </c>
      <c r="B154" s="5" t="s">
        <v>399</v>
      </c>
      <c r="C154" s="6" t="s">
        <v>400</v>
      </c>
      <c r="D154" s="6"/>
      <c r="E154" s="6"/>
      <c r="F154" s="5" t="s">
        <v>3588</v>
      </c>
      <c r="G154" s="5"/>
      <c r="H154" s="6" t="s">
        <v>3834</v>
      </c>
      <c r="I154" s="5">
        <v>3279</v>
      </c>
      <c r="J154" s="5">
        <v>10758</v>
      </c>
      <c r="K154" s="7" t="str">
        <f>HYPERLINK("http://www.centcols.org/util/geo/visuGen.php?code=US-CO-3279","US-CO-3279")</f>
        <v>US-CO-3279</v>
      </c>
      <c r="L154" s="8" t="s">
        <v>2995</v>
      </c>
      <c r="M154" s="8" t="s">
        <v>3222</v>
      </c>
      <c r="N154" s="8">
        <v>15</v>
      </c>
      <c r="O154" s="8">
        <v>99</v>
      </c>
      <c r="P154" s="8"/>
      <c r="Q154" s="5">
        <v>-105.7590394</v>
      </c>
      <c r="R154" s="5">
        <v>39.4964405</v>
      </c>
      <c r="S154" s="5" t="s">
        <v>401</v>
      </c>
      <c r="T154" s="5" t="s">
        <v>402</v>
      </c>
      <c r="U154" s="9" t="s">
        <v>403</v>
      </c>
      <c r="V154" s="8"/>
      <c r="W154" s="8" t="s">
        <v>2966</v>
      </c>
      <c r="X154" s="8" t="s">
        <v>3696</v>
      </c>
    </row>
    <row r="155" spans="1:24" ht="22.5">
      <c r="A155" s="5" t="s">
        <v>404</v>
      </c>
      <c r="B155" s="5" t="s">
        <v>405</v>
      </c>
      <c r="C155" s="6" t="s">
        <v>406</v>
      </c>
      <c r="D155" s="6"/>
      <c r="E155" s="6"/>
      <c r="F155" s="5" t="s">
        <v>3588</v>
      </c>
      <c r="G155" s="5"/>
      <c r="H155" s="6" t="s">
        <v>4007</v>
      </c>
      <c r="I155" s="5">
        <v>3323</v>
      </c>
      <c r="J155" s="5">
        <v>10902</v>
      </c>
      <c r="K155" s="7" t="str">
        <f>HYPERLINK("http://www.centcols.org/util/geo/visuGen.php?code=US-CO-3323","US-CO-3323")</f>
        <v>US-CO-3323</v>
      </c>
      <c r="L155" s="8" t="s">
        <v>407</v>
      </c>
      <c r="M155" s="8" t="s">
        <v>2988</v>
      </c>
      <c r="N155" s="8">
        <v>10</v>
      </c>
      <c r="O155" s="8">
        <v>35</v>
      </c>
      <c r="P155" s="8"/>
      <c r="Q155" s="5">
        <v>-108.1397789</v>
      </c>
      <c r="R155" s="5">
        <v>37.8339707</v>
      </c>
      <c r="S155" s="5" t="s">
        <v>408</v>
      </c>
      <c r="T155" s="5" t="s">
        <v>409</v>
      </c>
      <c r="U155" s="9" t="s">
        <v>3904</v>
      </c>
      <c r="V155" s="8"/>
      <c r="W155" s="8" t="s">
        <v>2966</v>
      </c>
      <c r="X155" s="8" t="s">
        <v>3696</v>
      </c>
    </row>
    <row r="156" spans="1:24" ht="33.75">
      <c r="A156" s="5" t="s">
        <v>410</v>
      </c>
      <c r="B156" s="5" t="s">
        <v>411</v>
      </c>
      <c r="C156" s="6" t="s">
        <v>412</v>
      </c>
      <c r="D156" s="6"/>
      <c r="E156" s="6"/>
      <c r="F156" s="5" t="s">
        <v>3588</v>
      </c>
      <c r="G156" s="5"/>
      <c r="H156" s="6" t="s">
        <v>3228</v>
      </c>
      <c r="I156" s="5">
        <v>3349</v>
      </c>
      <c r="J156" s="5">
        <v>10987</v>
      </c>
      <c r="K156" s="7" t="str">
        <f>HYPERLINK("http://www.centcols.org/util/geo/visuGen.php?code=US-CO-3349","US-CO-3349")</f>
        <v>US-CO-3349</v>
      </c>
      <c r="L156" s="8" t="s">
        <v>413</v>
      </c>
      <c r="M156" s="8" t="s">
        <v>2962</v>
      </c>
      <c r="N156" s="8">
        <v>20</v>
      </c>
      <c r="O156" s="8">
        <v>99</v>
      </c>
      <c r="P156" s="8"/>
      <c r="Q156" s="5">
        <v>-105.9277794</v>
      </c>
      <c r="R156" s="5">
        <v>40.4761105</v>
      </c>
      <c r="S156" s="5" t="s">
        <v>414</v>
      </c>
      <c r="T156" s="5" t="s">
        <v>415</v>
      </c>
      <c r="U156" s="9" t="s">
        <v>416</v>
      </c>
      <c r="V156" s="8"/>
      <c r="W156" s="8" t="s">
        <v>2966</v>
      </c>
      <c r="X156" s="8" t="s">
        <v>3638</v>
      </c>
    </row>
    <row r="157" spans="1:24" ht="22.5">
      <c r="A157" s="5" t="s">
        <v>417</v>
      </c>
      <c r="B157" s="5" t="s">
        <v>418</v>
      </c>
      <c r="C157" s="6" t="s">
        <v>419</v>
      </c>
      <c r="D157" s="6"/>
      <c r="E157" s="6"/>
      <c r="F157" s="5" t="s">
        <v>3588</v>
      </c>
      <c r="G157" s="5"/>
      <c r="H157" s="6" t="s">
        <v>4007</v>
      </c>
      <c r="I157" s="5">
        <v>3355</v>
      </c>
      <c r="J157" s="5">
        <v>11007</v>
      </c>
      <c r="K157" s="7" t="str">
        <f>HYPERLINK("http://www.centcols.org/util/geo/visuGen.php?code=US-CO-3355","US-CO-3355")</f>
        <v>US-CO-3355</v>
      </c>
      <c r="L157" s="8" t="s">
        <v>420</v>
      </c>
      <c r="M157" s="8" t="s">
        <v>3113</v>
      </c>
      <c r="N157" s="8">
        <v>10</v>
      </c>
      <c r="O157" s="8">
        <v>35</v>
      </c>
      <c r="P157" s="8"/>
      <c r="Q157" s="5">
        <v>-108.1989791</v>
      </c>
      <c r="R157" s="5">
        <v>37.8241307</v>
      </c>
      <c r="S157" s="5" t="s">
        <v>421</v>
      </c>
      <c r="T157" s="5" t="s">
        <v>422</v>
      </c>
      <c r="U157" s="9" t="s">
        <v>3904</v>
      </c>
      <c r="V157" s="8"/>
      <c r="W157" s="8" t="s">
        <v>2966</v>
      </c>
      <c r="X157" s="8" t="s">
        <v>3696</v>
      </c>
    </row>
    <row r="158" spans="1:24" ht="22.5">
      <c r="A158" s="5" t="s">
        <v>423</v>
      </c>
      <c r="B158" s="5" t="s">
        <v>424</v>
      </c>
      <c r="C158" s="6" t="s">
        <v>425</v>
      </c>
      <c r="D158" s="6"/>
      <c r="E158" s="6"/>
      <c r="F158" s="5" t="s">
        <v>3588</v>
      </c>
      <c r="G158" s="5"/>
      <c r="H158" s="6" t="s">
        <v>3668</v>
      </c>
      <c r="I158" s="5">
        <v>3371</v>
      </c>
      <c r="J158" s="5">
        <v>11060</v>
      </c>
      <c r="K158" s="7" t="str">
        <f>HYPERLINK("http://www.centcols.org/util/geo/visuGen.php?code=US-CO-3371","US-CO-3371")</f>
        <v>US-CO-3371</v>
      </c>
      <c r="L158" s="8" t="s">
        <v>426</v>
      </c>
      <c r="M158" s="8" t="s">
        <v>3113</v>
      </c>
      <c r="N158" s="8">
        <v>10</v>
      </c>
      <c r="O158" s="8">
        <v>35</v>
      </c>
      <c r="P158" s="8" t="s">
        <v>427</v>
      </c>
      <c r="Q158" s="5">
        <v>-105.0057736</v>
      </c>
      <c r="R158" s="5">
        <v>38.7927952</v>
      </c>
      <c r="S158" s="5" t="s">
        <v>428</v>
      </c>
      <c r="T158" s="5" t="s">
        <v>429</v>
      </c>
      <c r="U158" s="9" t="s">
        <v>430</v>
      </c>
      <c r="V158" s="8" t="s">
        <v>431</v>
      </c>
      <c r="W158" s="8" t="s">
        <v>2966</v>
      </c>
      <c r="X158" s="8" t="s">
        <v>3696</v>
      </c>
    </row>
    <row r="159" spans="1:24" ht="33.75">
      <c r="A159" s="5" t="s">
        <v>432</v>
      </c>
      <c r="B159" s="5" t="s">
        <v>433</v>
      </c>
      <c r="C159" s="6" t="s">
        <v>434</v>
      </c>
      <c r="D159" s="6"/>
      <c r="E159" s="6"/>
      <c r="F159" s="5" t="s">
        <v>3588</v>
      </c>
      <c r="G159" s="5"/>
      <c r="H159" s="6" t="s">
        <v>435</v>
      </c>
      <c r="I159" s="5">
        <v>3371</v>
      </c>
      <c r="J159" s="5">
        <v>11060</v>
      </c>
      <c r="K159" s="7" t="str">
        <f>HYPERLINK("http://www.centcols.org/util/geo/visuGen.php?code=US-CO-3371a","US-CO-3371a")</f>
        <v>US-CO-3371a</v>
      </c>
      <c r="L159" s="8" t="s">
        <v>436</v>
      </c>
      <c r="M159" s="8" t="s">
        <v>3222</v>
      </c>
      <c r="N159" s="8">
        <v>15</v>
      </c>
      <c r="O159" s="8">
        <v>99</v>
      </c>
      <c r="P159" s="8" t="s">
        <v>3338</v>
      </c>
      <c r="Q159" s="5">
        <v>-106.0008848</v>
      </c>
      <c r="R159" s="5">
        <v>38.429429</v>
      </c>
      <c r="S159" s="5" t="s">
        <v>437</v>
      </c>
      <c r="T159" s="5" t="s">
        <v>438</v>
      </c>
      <c r="U159" s="9" t="s">
        <v>3777</v>
      </c>
      <c r="V159" s="8" t="s">
        <v>439</v>
      </c>
      <c r="W159" s="8" t="s">
        <v>2966</v>
      </c>
      <c r="X159" s="8" t="s">
        <v>3696</v>
      </c>
    </row>
    <row r="160" spans="1:24" ht="22.5">
      <c r="A160" s="5" t="s">
        <v>440</v>
      </c>
      <c r="B160" s="5" t="s">
        <v>441</v>
      </c>
      <c r="C160" s="6" t="s">
        <v>442</v>
      </c>
      <c r="D160" s="6"/>
      <c r="E160" s="6"/>
      <c r="F160" s="5" t="s">
        <v>3588</v>
      </c>
      <c r="G160" s="5"/>
      <c r="H160" s="6" t="s">
        <v>3485</v>
      </c>
      <c r="I160" s="5">
        <v>3375</v>
      </c>
      <c r="J160" s="5">
        <v>11073</v>
      </c>
      <c r="K160" s="7" t="str">
        <f>HYPERLINK("http://www.centcols.org/util/geo/visuGen.php?code=US-CO-3375","US-CO-3375")</f>
        <v>US-CO-3375</v>
      </c>
      <c r="L160" s="8" t="s">
        <v>443</v>
      </c>
      <c r="M160" s="8" t="s">
        <v>3113</v>
      </c>
      <c r="N160" s="8">
        <v>10</v>
      </c>
      <c r="O160" s="8">
        <v>35</v>
      </c>
      <c r="P160" s="8"/>
      <c r="Q160" s="5">
        <v>-106.4220793</v>
      </c>
      <c r="R160" s="5">
        <v>39.2597309</v>
      </c>
      <c r="S160" s="5" t="s">
        <v>444</v>
      </c>
      <c r="T160" s="5" t="s">
        <v>445</v>
      </c>
      <c r="U160" s="9" t="s">
        <v>3904</v>
      </c>
      <c r="V160" s="8"/>
      <c r="W160" s="8" t="s">
        <v>2966</v>
      </c>
      <c r="X160" s="8" t="s">
        <v>3696</v>
      </c>
    </row>
    <row r="161" spans="1:24" ht="22.5">
      <c r="A161" s="5" t="s">
        <v>446</v>
      </c>
      <c r="B161" s="5" t="s">
        <v>447</v>
      </c>
      <c r="C161" s="6" t="s">
        <v>448</v>
      </c>
      <c r="D161" s="6"/>
      <c r="E161" s="6"/>
      <c r="F161" s="5" t="s">
        <v>3588</v>
      </c>
      <c r="G161" s="5"/>
      <c r="H161" s="6" t="s">
        <v>4014</v>
      </c>
      <c r="I161" s="5">
        <v>3411</v>
      </c>
      <c r="J161" s="5">
        <v>11191</v>
      </c>
      <c r="K161" s="7" t="str">
        <f>HYPERLINK("http://www.centcols.org/util/geo/visuGen.php?code=US-CO-3411","US-CO-3411")</f>
        <v>US-CO-3411</v>
      </c>
      <c r="L161" s="8" t="s">
        <v>449</v>
      </c>
      <c r="M161" s="8" t="s">
        <v>3222</v>
      </c>
      <c r="N161" s="8">
        <v>15</v>
      </c>
      <c r="O161" s="8">
        <v>99</v>
      </c>
      <c r="P161" s="8" t="s">
        <v>3338</v>
      </c>
      <c r="Q161" s="5">
        <v>-105.7167789</v>
      </c>
      <c r="R161" s="5">
        <v>40.146751</v>
      </c>
      <c r="S161" s="5" t="s">
        <v>450</v>
      </c>
      <c r="T161" s="5" t="s">
        <v>451</v>
      </c>
      <c r="U161" s="9" t="s">
        <v>452</v>
      </c>
      <c r="V161" s="8" t="s">
        <v>453</v>
      </c>
      <c r="W161" s="8" t="s">
        <v>2966</v>
      </c>
      <c r="X161" s="8" t="s">
        <v>3638</v>
      </c>
    </row>
    <row r="162" spans="1:24" ht="22.5">
      <c r="A162" s="5" t="s">
        <v>454</v>
      </c>
      <c r="B162" s="5" t="s">
        <v>455</v>
      </c>
      <c r="C162" s="6" t="s">
        <v>456</v>
      </c>
      <c r="D162" s="6"/>
      <c r="E162" s="6"/>
      <c r="F162" s="5" t="s">
        <v>3588</v>
      </c>
      <c r="G162" s="5"/>
      <c r="H162" s="6" t="s">
        <v>3834</v>
      </c>
      <c r="I162" s="5">
        <v>3433</v>
      </c>
      <c r="J162" s="5">
        <v>11263</v>
      </c>
      <c r="K162" s="7" t="str">
        <f>HYPERLINK("http://www.centcols.org/util/geo/visuGen.php?code=US-CO-3433","US-CO-3433")</f>
        <v>US-CO-3433</v>
      </c>
      <c r="L162" s="8" t="s">
        <v>457</v>
      </c>
      <c r="M162" s="8" t="s">
        <v>3222</v>
      </c>
      <c r="N162" s="8">
        <v>15</v>
      </c>
      <c r="O162" s="8">
        <v>99</v>
      </c>
      <c r="P162" s="8"/>
      <c r="Q162" s="5">
        <v>-105.9671789</v>
      </c>
      <c r="R162" s="5">
        <v>39.3362007</v>
      </c>
      <c r="S162" s="5" t="s">
        <v>458</v>
      </c>
      <c r="T162" s="5" t="s">
        <v>459</v>
      </c>
      <c r="U162" s="9" t="s">
        <v>3953</v>
      </c>
      <c r="V162" s="8"/>
      <c r="W162" s="8" t="s">
        <v>2966</v>
      </c>
      <c r="X162" s="8" t="s">
        <v>3696</v>
      </c>
    </row>
    <row r="163" spans="1:24" ht="33.75">
      <c r="A163" s="5" t="s">
        <v>460</v>
      </c>
      <c r="B163" s="5" t="s">
        <v>461</v>
      </c>
      <c r="C163" s="6" t="s">
        <v>462</v>
      </c>
      <c r="D163" s="6"/>
      <c r="E163" s="6"/>
      <c r="F163" s="5" t="s">
        <v>3588</v>
      </c>
      <c r="G163" s="5"/>
      <c r="H163" s="6" t="s">
        <v>3922</v>
      </c>
      <c r="I163" s="5">
        <v>3456</v>
      </c>
      <c r="J163" s="5">
        <v>11338</v>
      </c>
      <c r="K163" s="7" t="str">
        <f>HYPERLINK("http://www.centcols.org/util/geo/visuGen.php?code=US-CO-3456","US-CO-3456")</f>
        <v>US-CO-3456</v>
      </c>
      <c r="L163" s="8" t="s">
        <v>463</v>
      </c>
      <c r="M163" s="8" t="s">
        <v>3222</v>
      </c>
      <c r="N163" s="8">
        <v>15</v>
      </c>
      <c r="O163" s="8">
        <v>99</v>
      </c>
      <c r="P163" s="8" t="s">
        <v>3338</v>
      </c>
      <c r="Q163" s="5">
        <v>-105.418329</v>
      </c>
      <c r="R163" s="5">
        <v>37.6172205</v>
      </c>
      <c r="S163" s="5" t="s">
        <v>464</v>
      </c>
      <c r="T163" s="5" t="s">
        <v>465</v>
      </c>
      <c r="U163" s="9" t="s">
        <v>466</v>
      </c>
      <c r="V163" s="8" t="s">
        <v>439</v>
      </c>
      <c r="W163" s="8" t="s">
        <v>2966</v>
      </c>
      <c r="X163" s="8" t="s">
        <v>3696</v>
      </c>
    </row>
    <row r="164" spans="1:24" ht="22.5">
      <c r="A164" s="5" t="s">
        <v>467</v>
      </c>
      <c r="B164" s="5" t="s">
        <v>468</v>
      </c>
      <c r="C164" s="6" t="s">
        <v>469</v>
      </c>
      <c r="D164" s="6"/>
      <c r="E164" s="6"/>
      <c r="F164" s="5" t="s">
        <v>3588</v>
      </c>
      <c r="G164" s="5"/>
      <c r="H164" s="6" t="s">
        <v>3964</v>
      </c>
      <c r="I164" s="5">
        <v>3504</v>
      </c>
      <c r="J164" s="5">
        <v>11496</v>
      </c>
      <c r="K164" s="7" t="str">
        <f>HYPERLINK("http://www.centcols.org/util/geo/visuGen.php?code=US-CO-3504a","US-CO-3504a")</f>
        <v>US-CO-3504a</v>
      </c>
      <c r="L164" s="8" t="s">
        <v>470</v>
      </c>
      <c r="M164" s="8" t="s">
        <v>471</v>
      </c>
      <c r="N164" s="8">
        <v>15</v>
      </c>
      <c r="O164" s="8">
        <v>99</v>
      </c>
      <c r="P164" s="8"/>
      <c r="Q164" s="5">
        <v>-106.2591693</v>
      </c>
      <c r="R164" s="5">
        <v>38.4422207</v>
      </c>
      <c r="S164" s="5" t="s">
        <v>472</v>
      </c>
      <c r="T164" s="5" t="s">
        <v>473</v>
      </c>
      <c r="U164" s="9" t="s">
        <v>4018</v>
      </c>
      <c r="V164" s="8"/>
      <c r="W164" s="8" t="s">
        <v>2966</v>
      </c>
      <c r="X164" s="8" t="s">
        <v>3696</v>
      </c>
    </row>
    <row r="165" spans="1:24" ht="22.5">
      <c r="A165" s="5" t="s">
        <v>474</v>
      </c>
      <c r="B165" s="5" t="s">
        <v>475</v>
      </c>
      <c r="C165" s="6" t="s">
        <v>476</v>
      </c>
      <c r="D165" s="6"/>
      <c r="E165" s="6"/>
      <c r="F165" s="5" t="s">
        <v>3588</v>
      </c>
      <c r="G165" s="5"/>
      <c r="H165" s="6" t="s">
        <v>3633</v>
      </c>
      <c r="I165" s="5">
        <v>3556</v>
      </c>
      <c r="J165" s="5">
        <v>11667</v>
      </c>
      <c r="K165" s="7" t="str">
        <f>HYPERLINK("http://www.centcols.org/util/geo/visuGen.php?code=US-CO-3556","US-CO-3556")</f>
        <v>US-CO-3556</v>
      </c>
      <c r="L165" s="8" t="s">
        <v>477</v>
      </c>
      <c r="M165" s="8" t="s">
        <v>3222</v>
      </c>
      <c r="N165" s="8">
        <v>15</v>
      </c>
      <c r="O165" s="8">
        <v>99</v>
      </c>
      <c r="P165" s="8" t="s">
        <v>3338</v>
      </c>
      <c r="Q165" s="5">
        <v>-105.6877794</v>
      </c>
      <c r="R165" s="5">
        <v>39.9375008</v>
      </c>
      <c r="S165" s="5" t="s">
        <v>478</v>
      </c>
      <c r="T165" s="5" t="s">
        <v>479</v>
      </c>
      <c r="U165" s="9" t="s">
        <v>480</v>
      </c>
      <c r="V165" s="8" t="s">
        <v>453</v>
      </c>
      <c r="W165" s="8" t="s">
        <v>2966</v>
      </c>
      <c r="X165" s="8" t="s">
        <v>3696</v>
      </c>
    </row>
    <row r="166" spans="1:24" ht="22.5">
      <c r="A166" s="5" t="s">
        <v>481</v>
      </c>
      <c r="B166" s="5" t="s">
        <v>482</v>
      </c>
      <c r="C166" s="6" t="s">
        <v>483</v>
      </c>
      <c r="D166" s="6"/>
      <c r="E166" s="6"/>
      <c r="F166" s="5" t="s">
        <v>3588</v>
      </c>
      <c r="G166" s="5"/>
      <c r="H166" s="6" t="s">
        <v>3228</v>
      </c>
      <c r="I166" s="5">
        <v>3563</v>
      </c>
      <c r="J166" s="5">
        <v>11689</v>
      </c>
      <c r="K166" s="7" t="str">
        <f>HYPERLINK("http://www.centcols.org/util/geo/visuGen.php?code=US-CO-3563","US-CO-3563")</f>
        <v>US-CO-3563</v>
      </c>
      <c r="L166" s="8" t="s">
        <v>413</v>
      </c>
      <c r="M166" s="8" t="s">
        <v>3222</v>
      </c>
      <c r="N166" s="8">
        <v>15</v>
      </c>
      <c r="O166" s="8">
        <v>99</v>
      </c>
      <c r="P166" s="8" t="s">
        <v>3338</v>
      </c>
      <c r="Q166" s="5">
        <v>-105.9116389</v>
      </c>
      <c r="R166" s="5">
        <v>40.4360106</v>
      </c>
      <c r="S166" s="5" t="s">
        <v>484</v>
      </c>
      <c r="T166" s="5" t="s">
        <v>485</v>
      </c>
      <c r="U166" s="9" t="s">
        <v>486</v>
      </c>
      <c r="V166" s="8" t="s">
        <v>487</v>
      </c>
      <c r="W166" s="8" t="s">
        <v>2966</v>
      </c>
      <c r="X166" s="8" t="s">
        <v>3638</v>
      </c>
    </row>
    <row r="167" spans="1:24" ht="22.5">
      <c r="A167" s="5" t="s">
        <v>488</v>
      </c>
      <c r="B167" s="5" t="s">
        <v>489</v>
      </c>
      <c r="C167" s="6" t="s">
        <v>490</v>
      </c>
      <c r="D167" s="6"/>
      <c r="E167" s="6"/>
      <c r="F167" s="5" t="s">
        <v>3588</v>
      </c>
      <c r="G167" s="5"/>
      <c r="H167" s="6" t="s">
        <v>3699</v>
      </c>
      <c r="I167" s="5">
        <v>3572</v>
      </c>
      <c r="J167" s="5">
        <v>11719</v>
      </c>
      <c r="K167" s="7" t="str">
        <f>HYPERLINK("http://www.centcols.org/util/geo/visuGen.php?code=US-CO-3572","US-CO-3572")</f>
        <v>US-CO-3572</v>
      </c>
      <c r="L167" s="8" t="s">
        <v>491</v>
      </c>
      <c r="M167" s="8" t="s">
        <v>2962</v>
      </c>
      <c r="N167" s="8">
        <v>20</v>
      </c>
      <c r="O167" s="8">
        <v>99</v>
      </c>
      <c r="P167" s="8" t="s">
        <v>3338</v>
      </c>
      <c r="Q167" s="5">
        <v>-107.2358292</v>
      </c>
      <c r="R167" s="5">
        <v>39.0091708</v>
      </c>
      <c r="S167" s="5" t="s">
        <v>492</v>
      </c>
      <c r="T167" s="5" t="s">
        <v>493</v>
      </c>
      <c r="U167" s="9" t="s">
        <v>494</v>
      </c>
      <c r="V167" s="8" t="s">
        <v>495</v>
      </c>
      <c r="W167" s="8" t="s">
        <v>2966</v>
      </c>
      <c r="X167" s="8" t="s">
        <v>3696</v>
      </c>
    </row>
    <row r="168" spans="1:24" ht="33.75">
      <c r="A168" s="5" t="s">
        <v>496</v>
      </c>
      <c r="B168" s="5" t="s">
        <v>497</v>
      </c>
      <c r="C168" s="6" t="s">
        <v>498</v>
      </c>
      <c r="D168" s="6"/>
      <c r="E168" s="6"/>
      <c r="F168" s="5" t="s">
        <v>3588</v>
      </c>
      <c r="G168" s="5"/>
      <c r="H168" s="6" t="s">
        <v>499</v>
      </c>
      <c r="I168" s="5">
        <v>3616</v>
      </c>
      <c r="J168" s="5">
        <v>11863</v>
      </c>
      <c r="K168" s="7" t="str">
        <f>HYPERLINK("http://www.centcols.org/util/geo/visuGen.php?code=US-CO-3616","US-CO-3616")</f>
        <v>US-CO-3616</v>
      </c>
      <c r="L168" s="8" t="s">
        <v>500</v>
      </c>
      <c r="M168" s="8" t="s">
        <v>3222</v>
      </c>
      <c r="N168" s="8">
        <v>15</v>
      </c>
      <c r="O168" s="8">
        <v>99</v>
      </c>
      <c r="P168" s="8" t="s">
        <v>3338</v>
      </c>
      <c r="Q168" s="5">
        <v>-105.4873989</v>
      </c>
      <c r="R168" s="5">
        <v>37.645805</v>
      </c>
      <c r="S168" s="5" t="s">
        <v>501</v>
      </c>
      <c r="T168" s="5" t="s">
        <v>502</v>
      </c>
      <c r="U168" s="9" t="s">
        <v>3777</v>
      </c>
      <c r="V168" s="8" t="s">
        <v>439</v>
      </c>
      <c r="W168" s="8" t="s">
        <v>2966</v>
      </c>
      <c r="X168" s="8" t="s">
        <v>3696</v>
      </c>
    </row>
    <row r="169" spans="1:24" ht="22.5">
      <c r="A169" s="5" t="s">
        <v>503</v>
      </c>
      <c r="B169" s="5" t="s">
        <v>504</v>
      </c>
      <c r="C169" s="6" t="s">
        <v>505</v>
      </c>
      <c r="D169" s="6"/>
      <c r="E169" s="6"/>
      <c r="F169" s="5" t="s">
        <v>3588</v>
      </c>
      <c r="G169" s="5"/>
      <c r="H169" s="6" t="s">
        <v>3699</v>
      </c>
      <c r="I169" s="5">
        <v>3617</v>
      </c>
      <c r="J169" s="5">
        <v>11867</v>
      </c>
      <c r="K169" s="7" t="str">
        <f>HYPERLINK("http://www.centcols.org/util/geo/visuGen.php?code=US-CO-3617","US-CO-3617")</f>
        <v>US-CO-3617</v>
      </c>
      <c r="L169" s="8" t="s">
        <v>506</v>
      </c>
      <c r="M169" s="8" t="s">
        <v>3222</v>
      </c>
      <c r="N169" s="8">
        <v>15</v>
      </c>
      <c r="O169" s="8">
        <v>99</v>
      </c>
      <c r="P169" s="8" t="s">
        <v>3338</v>
      </c>
      <c r="Q169" s="5">
        <v>-107.097219</v>
      </c>
      <c r="R169" s="5">
        <v>38.9125007</v>
      </c>
      <c r="S169" s="5" t="s">
        <v>507</v>
      </c>
      <c r="T169" s="5" t="s">
        <v>508</v>
      </c>
      <c r="U169" s="9" t="s">
        <v>509</v>
      </c>
      <c r="V169" s="8" t="s">
        <v>495</v>
      </c>
      <c r="W169" s="8" t="s">
        <v>2966</v>
      </c>
      <c r="X169" s="8" t="s">
        <v>3696</v>
      </c>
    </row>
    <row r="170" spans="1:24" ht="22.5">
      <c r="A170" s="5" t="s">
        <v>510</v>
      </c>
      <c r="B170" s="5" t="s">
        <v>511</v>
      </c>
      <c r="C170" s="6" t="s">
        <v>512</v>
      </c>
      <c r="D170" s="6"/>
      <c r="E170" s="6"/>
      <c r="F170" s="5" t="s">
        <v>3588</v>
      </c>
      <c r="G170" s="5"/>
      <c r="H170" s="6" t="s">
        <v>3922</v>
      </c>
      <c r="I170" s="5">
        <v>3629</v>
      </c>
      <c r="J170" s="5">
        <v>11906</v>
      </c>
      <c r="K170" s="7" t="str">
        <f>HYPERLINK("http://www.centcols.org/util/geo/visuGen.php?code=US-CO-3629","US-CO-3629")</f>
        <v>US-CO-3629</v>
      </c>
      <c r="L170" s="8" t="s">
        <v>513</v>
      </c>
      <c r="M170" s="8" t="s">
        <v>3222</v>
      </c>
      <c r="N170" s="8">
        <v>15</v>
      </c>
      <c r="O170" s="8">
        <v>99</v>
      </c>
      <c r="P170" s="8" t="s">
        <v>427</v>
      </c>
      <c r="Q170" s="5">
        <v>-105.2303494</v>
      </c>
      <c r="R170" s="5">
        <v>37.0396608</v>
      </c>
      <c r="S170" s="5" t="s">
        <v>514</v>
      </c>
      <c r="T170" s="5" t="s">
        <v>515</v>
      </c>
      <c r="U170" s="9" t="s">
        <v>3904</v>
      </c>
      <c r="V170" s="8" t="s">
        <v>516</v>
      </c>
      <c r="W170" s="8" t="s">
        <v>2966</v>
      </c>
      <c r="X170" s="8" t="s">
        <v>3696</v>
      </c>
    </row>
    <row r="171" spans="1:24" ht="33.75">
      <c r="A171" s="5" t="s">
        <v>517</v>
      </c>
      <c r="B171" s="5" t="s">
        <v>518</v>
      </c>
      <c r="C171" s="6" t="s">
        <v>519</v>
      </c>
      <c r="D171" s="6"/>
      <c r="E171" s="6"/>
      <c r="F171" s="5" t="s">
        <v>3588</v>
      </c>
      <c r="G171" s="5"/>
      <c r="H171" s="6" t="s">
        <v>520</v>
      </c>
      <c r="I171" s="5">
        <v>3633</v>
      </c>
      <c r="J171" s="5">
        <v>11919</v>
      </c>
      <c r="K171" s="7" t="str">
        <f>HYPERLINK("http://www.centcols.org/util/geo/visuGen.php?code=US-CO-3633","US-CO-3633")</f>
        <v>US-CO-3633</v>
      </c>
      <c r="L171" s="8" t="s">
        <v>521</v>
      </c>
      <c r="M171" s="8" t="s">
        <v>2988</v>
      </c>
      <c r="N171" s="8">
        <v>10</v>
      </c>
      <c r="O171" s="8">
        <v>35</v>
      </c>
      <c r="P171" s="8"/>
      <c r="Q171" s="5">
        <v>-107.5921882</v>
      </c>
      <c r="R171" s="5">
        <v>37.9488271</v>
      </c>
      <c r="S171" s="5" t="s">
        <v>522</v>
      </c>
      <c r="T171" s="5" t="s">
        <v>523</v>
      </c>
      <c r="U171" s="9" t="s">
        <v>3777</v>
      </c>
      <c r="V171" s="8"/>
      <c r="W171" s="8" t="s">
        <v>2966</v>
      </c>
      <c r="X171" s="8" t="s">
        <v>3696</v>
      </c>
    </row>
    <row r="172" spans="1:24" ht="33.75">
      <c r="A172" s="5" t="s">
        <v>524</v>
      </c>
      <c r="B172" s="5" t="s">
        <v>525</v>
      </c>
      <c r="C172" s="6" t="s">
        <v>526</v>
      </c>
      <c r="D172" s="6"/>
      <c r="E172" s="6" t="s">
        <v>527</v>
      </c>
      <c r="F172" s="5" t="s">
        <v>3588</v>
      </c>
      <c r="G172" s="5"/>
      <c r="H172" s="6" t="s">
        <v>3964</v>
      </c>
      <c r="I172" s="5">
        <v>3643</v>
      </c>
      <c r="J172" s="5">
        <v>11952</v>
      </c>
      <c r="K172" s="7" t="str">
        <f>HYPERLINK("http://www.centcols.org/util/geo/visuGen.php?code=US-CO-3643","US-CO-3643")</f>
        <v>US-CO-3643</v>
      </c>
      <c r="L172" s="8" t="s">
        <v>528</v>
      </c>
      <c r="M172" s="8" t="s">
        <v>2988</v>
      </c>
      <c r="N172" s="8">
        <v>10</v>
      </c>
      <c r="O172" s="8">
        <v>35</v>
      </c>
      <c r="P172" s="8"/>
      <c r="Q172" s="5">
        <v>-106.406369</v>
      </c>
      <c r="R172" s="5">
        <v>38.6473707</v>
      </c>
      <c r="S172" s="5" t="s">
        <v>529</v>
      </c>
      <c r="T172" s="5" t="s">
        <v>530</v>
      </c>
      <c r="U172" s="9" t="s">
        <v>531</v>
      </c>
      <c r="V172" s="8"/>
      <c r="W172" s="8" t="s">
        <v>2966</v>
      </c>
      <c r="X172" s="8" t="s">
        <v>3696</v>
      </c>
    </row>
    <row r="173" spans="1:24" ht="33.75">
      <c r="A173" s="5" t="s">
        <v>532</v>
      </c>
      <c r="B173" s="5" t="s">
        <v>533</v>
      </c>
      <c r="C173" s="6" t="s">
        <v>534</v>
      </c>
      <c r="D173" s="6"/>
      <c r="E173" s="6"/>
      <c r="F173" s="5" t="s">
        <v>3588</v>
      </c>
      <c r="G173" s="5"/>
      <c r="H173" s="6" t="s">
        <v>535</v>
      </c>
      <c r="I173" s="5">
        <v>3663</v>
      </c>
      <c r="J173" s="5">
        <v>12018</v>
      </c>
      <c r="K173" s="7" t="str">
        <f>HYPERLINK("http://www.centcols.org/util/geo/visuGen.php?code=US-CO-3663","US-CO-3663")</f>
        <v>US-CO-3663</v>
      </c>
      <c r="L173" s="8" t="s">
        <v>536</v>
      </c>
      <c r="M173" s="8" t="s">
        <v>3113</v>
      </c>
      <c r="N173" s="8">
        <v>10</v>
      </c>
      <c r="O173" s="8">
        <v>35</v>
      </c>
      <c r="P173" s="8" t="s">
        <v>3338</v>
      </c>
      <c r="Q173" s="5">
        <v>-106.7342863</v>
      </c>
      <c r="R173" s="5">
        <v>39.0451498</v>
      </c>
      <c r="S173" s="5" t="s">
        <v>537</v>
      </c>
      <c r="T173" s="5" t="s">
        <v>538</v>
      </c>
      <c r="U173" s="9" t="s">
        <v>539</v>
      </c>
      <c r="V173" s="8" t="s">
        <v>540</v>
      </c>
      <c r="W173" s="8" t="s">
        <v>2966</v>
      </c>
      <c r="X173" s="8" t="s">
        <v>3696</v>
      </c>
    </row>
    <row r="174" spans="1:24" ht="22.5">
      <c r="A174" s="5" t="s">
        <v>541</v>
      </c>
      <c r="B174" s="5" t="s">
        <v>542</v>
      </c>
      <c r="C174" s="6" t="s">
        <v>543</v>
      </c>
      <c r="D174" s="6"/>
      <c r="E174" s="6"/>
      <c r="F174" s="5" t="s">
        <v>3588</v>
      </c>
      <c r="G174" s="5"/>
      <c r="H174" s="6" t="s">
        <v>3497</v>
      </c>
      <c r="I174" s="5">
        <v>3664</v>
      </c>
      <c r="J174" s="5">
        <v>12021</v>
      </c>
      <c r="K174" s="7" t="str">
        <f>HYPERLINK("http://www.centcols.org/util/geo/visuGen.php?code=US-CO-3664","US-CO-3664")</f>
        <v>US-CO-3664</v>
      </c>
      <c r="L174" s="8" t="s">
        <v>544</v>
      </c>
      <c r="M174" s="8" t="s">
        <v>2962</v>
      </c>
      <c r="N174" s="8">
        <v>20</v>
      </c>
      <c r="O174" s="8">
        <v>99</v>
      </c>
      <c r="P174" s="8"/>
      <c r="Q174" s="5">
        <v>-105.8930592</v>
      </c>
      <c r="R174" s="5">
        <v>39.5508307</v>
      </c>
      <c r="S174" s="5" t="s">
        <v>545</v>
      </c>
      <c r="T174" s="5" t="s">
        <v>546</v>
      </c>
      <c r="U174" s="9" t="s">
        <v>547</v>
      </c>
      <c r="V174" s="8"/>
      <c r="W174" s="8" t="s">
        <v>2966</v>
      </c>
      <c r="X174" s="8" t="s">
        <v>3696</v>
      </c>
    </row>
    <row r="175" spans="1:24" ht="33.75">
      <c r="A175" s="5" t="s">
        <v>548</v>
      </c>
      <c r="B175" s="5" t="s">
        <v>549</v>
      </c>
      <c r="C175" s="6" t="s">
        <v>550</v>
      </c>
      <c r="D175" s="6"/>
      <c r="E175" s="6"/>
      <c r="F175" s="5" t="s">
        <v>3588</v>
      </c>
      <c r="G175" s="5"/>
      <c r="H175" s="6" t="s">
        <v>3633</v>
      </c>
      <c r="I175" s="5">
        <v>3669</v>
      </c>
      <c r="J175" s="5">
        <v>12037</v>
      </c>
      <c r="K175" s="7" t="str">
        <f>HYPERLINK("http://www.centcols.org/util/geo/visuGen.php?code=US-CO-3669","US-CO-3669")</f>
        <v>US-CO-3669</v>
      </c>
      <c r="L175" s="8" t="s">
        <v>449</v>
      </c>
      <c r="M175" s="8" t="s">
        <v>3222</v>
      </c>
      <c r="N175" s="8">
        <v>15</v>
      </c>
      <c r="O175" s="8">
        <v>99</v>
      </c>
      <c r="P175" s="8" t="s">
        <v>3338</v>
      </c>
      <c r="Q175" s="5">
        <v>-105.6708291</v>
      </c>
      <c r="R175" s="5">
        <v>40.2180609</v>
      </c>
      <c r="S175" s="5" t="s">
        <v>551</v>
      </c>
      <c r="T175" s="5" t="s">
        <v>552</v>
      </c>
      <c r="U175" s="9" t="s">
        <v>553</v>
      </c>
      <c r="V175" s="8" t="s">
        <v>3815</v>
      </c>
      <c r="W175" s="8" t="s">
        <v>2966</v>
      </c>
      <c r="X175" s="8" t="s">
        <v>554</v>
      </c>
    </row>
    <row r="176" spans="1:24" ht="33.75">
      <c r="A176" s="5" t="s">
        <v>555</v>
      </c>
      <c r="B176" s="5" t="s">
        <v>556</v>
      </c>
      <c r="C176" s="6" t="s">
        <v>557</v>
      </c>
      <c r="D176" s="6"/>
      <c r="E176" s="6"/>
      <c r="F176" s="5" t="s">
        <v>3588</v>
      </c>
      <c r="G176" s="5"/>
      <c r="H176" s="6" t="s">
        <v>3742</v>
      </c>
      <c r="I176" s="5">
        <v>3677</v>
      </c>
      <c r="J176" s="5">
        <v>12064</v>
      </c>
      <c r="K176" s="7" t="str">
        <f>HYPERLINK("http://www.centcols.org/util/geo/visuGen.php?code=US-CO-3677","US-CO-3677")</f>
        <v>US-CO-3677</v>
      </c>
      <c r="L176" s="8" t="s">
        <v>449</v>
      </c>
      <c r="M176" s="8" t="s">
        <v>3222</v>
      </c>
      <c r="N176" s="8">
        <v>15</v>
      </c>
      <c r="O176" s="8">
        <v>99</v>
      </c>
      <c r="P176" s="8" t="s">
        <v>3338</v>
      </c>
      <c r="Q176" s="5">
        <v>-106.2995889</v>
      </c>
      <c r="R176" s="5">
        <v>39.7033669</v>
      </c>
      <c r="S176" s="5" t="s">
        <v>558</v>
      </c>
      <c r="T176" s="5" t="s">
        <v>559</v>
      </c>
      <c r="U176" s="9" t="s">
        <v>560</v>
      </c>
      <c r="V176" s="8" t="s">
        <v>3815</v>
      </c>
      <c r="W176" s="8" t="s">
        <v>2966</v>
      </c>
      <c r="X176" s="8" t="s">
        <v>3638</v>
      </c>
    </row>
    <row r="177" spans="1:24" ht="22.5">
      <c r="A177" s="5" t="s">
        <v>561</v>
      </c>
      <c r="B177" s="5" t="s">
        <v>562</v>
      </c>
      <c r="C177" s="6" t="s">
        <v>563</v>
      </c>
      <c r="D177" s="6"/>
      <c r="E177" s="6"/>
      <c r="F177" s="5" t="s">
        <v>3588</v>
      </c>
      <c r="G177" s="5"/>
      <c r="H177" s="6" t="s">
        <v>564</v>
      </c>
      <c r="I177" s="5">
        <v>3682</v>
      </c>
      <c r="J177" s="5">
        <v>12080</v>
      </c>
      <c r="K177" s="7" t="str">
        <f>HYPERLINK("http://www.centcols.org/util/geo/visuGen.php?code=US-CO-3682","US-CO-3682")</f>
        <v>US-CO-3682</v>
      </c>
      <c r="L177" s="8" t="s">
        <v>565</v>
      </c>
      <c r="M177" s="8" t="s">
        <v>3222</v>
      </c>
      <c r="N177" s="8">
        <v>15</v>
      </c>
      <c r="O177" s="8">
        <v>99</v>
      </c>
      <c r="P177" s="8" t="s">
        <v>3338</v>
      </c>
      <c r="Q177" s="5">
        <v>-107.0876323</v>
      </c>
      <c r="R177" s="5">
        <v>39.1549046</v>
      </c>
      <c r="S177" s="5" t="s">
        <v>566</v>
      </c>
      <c r="T177" s="5" t="s">
        <v>567</v>
      </c>
      <c r="U177" s="9" t="s">
        <v>568</v>
      </c>
      <c r="V177" s="8" t="s">
        <v>569</v>
      </c>
      <c r="W177" s="8" t="s">
        <v>2966</v>
      </c>
      <c r="X177" s="8" t="s">
        <v>3696</v>
      </c>
    </row>
    <row r="178" spans="1:24" ht="33.75">
      <c r="A178" s="5" t="s">
        <v>570</v>
      </c>
      <c r="B178" s="5" t="s">
        <v>571</v>
      </c>
      <c r="C178" s="6" t="s">
        <v>572</v>
      </c>
      <c r="D178" s="6"/>
      <c r="E178" s="6"/>
      <c r="F178" s="5" t="s">
        <v>3588</v>
      </c>
      <c r="G178" s="5"/>
      <c r="H178" s="6" t="s">
        <v>3749</v>
      </c>
      <c r="I178" s="5">
        <v>3686</v>
      </c>
      <c r="J178" s="5">
        <v>12093</v>
      </c>
      <c r="K178" s="7" t="str">
        <f>HYPERLINK("http://www.centcols.org/util/geo/visuGen.php?code=US-CO-3686","US-CO-3686")</f>
        <v>US-CO-3686</v>
      </c>
      <c r="L178" s="8" t="s">
        <v>573</v>
      </c>
      <c r="M178" s="8" t="s">
        <v>3222</v>
      </c>
      <c r="N178" s="8">
        <v>15</v>
      </c>
      <c r="O178" s="8">
        <v>99</v>
      </c>
      <c r="P178" s="8" t="s">
        <v>3338</v>
      </c>
      <c r="Q178" s="5">
        <v>-105.7188895</v>
      </c>
      <c r="R178" s="5">
        <v>40.4116709</v>
      </c>
      <c r="S178" s="5" t="s">
        <v>574</v>
      </c>
      <c r="T178" s="5" t="s">
        <v>575</v>
      </c>
      <c r="U178" s="9" t="s">
        <v>576</v>
      </c>
      <c r="V178" s="8" t="s">
        <v>3815</v>
      </c>
      <c r="W178" s="8" t="s">
        <v>2966</v>
      </c>
      <c r="X178" s="8" t="s">
        <v>3696</v>
      </c>
    </row>
    <row r="179" spans="1:24" ht="22.5">
      <c r="A179" s="5" t="s">
        <v>577</v>
      </c>
      <c r="B179" s="5" t="s">
        <v>578</v>
      </c>
      <c r="C179" s="6" t="s">
        <v>579</v>
      </c>
      <c r="D179" s="6"/>
      <c r="E179" s="6"/>
      <c r="F179" s="5" t="s">
        <v>3588</v>
      </c>
      <c r="G179" s="5"/>
      <c r="H179" s="6" t="s">
        <v>3749</v>
      </c>
      <c r="I179" s="5">
        <v>3692</v>
      </c>
      <c r="J179" s="5">
        <v>12113</v>
      </c>
      <c r="K179" s="7" t="str">
        <f>HYPERLINK("http://www.centcols.org/util/geo/visuGen.php?code=US-CO-3692","US-CO-3692")</f>
        <v>US-CO-3692</v>
      </c>
      <c r="L179" s="8" t="s">
        <v>573</v>
      </c>
      <c r="M179" s="9" t="s">
        <v>580</v>
      </c>
      <c r="N179" s="8">
        <v>0</v>
      </c>
      <c r="O179" s="8">
        <v>0</v>
      </c>
      <c r="P179" s="8"/>
      <c r="Q179" s="5">
        <v>-105.7312135</v>
      </c>
      <c r="R179" s="5">
        <v>40.4108378</v>
      </c>
      <c r="S179" s="5" t="s">
        <v>581</v>
      </c>
      <c r="T179" s="5" t="s">
        <v>582</v>
      </c>
      <c r="U179" s="8"/>
      <c r="V179" s="8" t="s">
        <v>583</v>
      </c>
      <c r="W179" s="8" t="s">
        <v>2966</v>
      </c>
      <c r="X179" s="9" t="s">
        <v>584</v>
      </c>
    </row>
    <row r="180" spans="1:24" ht="33.75">
      <c r="A180" s="5" t="s">
        <v>585</v>
      </c>
      <c r="B180" s="5" t="s">
        <v>586</v>
      </c>
      <c r="C180" s="6" t="s">
        <v>587</v>
      </c>
      <c r="D180" s="6"/>
      <c r="E180" s="6" t="s">
        <v>588</v>
      </c>
      <c r="F180" s="5" t="s">
        <v>3588</v>
      </c>
      <c r="G180" s="5"/>
      <c r="H180" s="6" t="s">
        <v>520</v>
      </c>
      <c r="I180" s="5">
        <v>3699</v>
      </c>
      <c r="J180" s="5">
        <v>12136</v>
      </c>
      <c r="K180" s="7" t="str">
        <f>HYPERLINK("http://www.centcols.org/util/geo/visuGen.php?code=US-CO-3699","US-CO-3699")</f>
        <v>US-CO-3699</v>
      </c>
      <c r="L180" s="8" t="s">
        <v>589</v>
      </c>
      <c r="M180" s="8" t="s">
        <v>471</v>
      </c>
      <c r="N180" s="8">
        <v>15</v>
      </c>
      <c r="O180" s="8">
        <v>99</v>
      </c>
      <c r="P180" s="8" t="s">
        <v>3338</v>
      </c>
      <c r="Q180" s="5">
        <v>-107.5577789</v>
      </c>
      <c r="R180" s="5">
        <v>37.7708306</v>
      </c>
      <c r="S180" s="5" t="s">
        <v>590</v>
      </c>
      <c r="T180" s="5" t="s">
        <v>591</v>
      </c>
      <c r="U180" s="9" t="s">
        <v>592</v>
      </c>
      <c r="V180" s="8" t="s">
        <v>593</v>
      </c>
      <c r="W180" s="8" t="s">
        <v>2966</v>
      </c>
      <c r="X180" s="8" t="s">
        <v>3696</v>
      </c>
    </row>
    <row r="181" spans="1:24" ht="22.5">
      <c r="A181" s="5" t="s">
        <v>594</v>
      </c>
      <c r="B181" s="5" t="s">
        <v>595</v>
      </c>
      <c r="C181" s="6" t="s">
        <v>596</v>
      </c>
      <c r="D181" s="6"/>
      <c r="E181" s="6"/>
      <c r="F181" s="5" t="s">
        <v>3588</v>
      </c>
      <c r="G181" s="5"/>
      <c r="H181" s="6" t="s">
        <v>597</v>
      </c>
      <c r="I181" s="5">
        <v>3728</v>
      </c>
      <c r="J181" s="5">
        <v>12231</v>
      </c>
      <c r="K181" s="7" t="str">
        <f>HYPERLINK("http://www.centcols.org/util/geo/visuGen.php?code=US-CO-3728","US-CO-3728")</f>
        <v>US-CO-3728</v>
      </c>
      <c r="L181" s="8" t="s">
        <v>598</v>
      </c>
      <c r="M181" s="8" t="s">
        <v>3113</v>
      </c>
      <c r="N181" s="8">
        <v>10</v>
      </c>
      <c r="O181" s="8">
        <v>35</v>
      </c>
      <c r="P181" s="8"/>
      <c r="Q181" s="5">
        <v>-107.6615093</v>
      </c>
      <c r="R181" s="5">
        <v>37.9064807</v>
      </c>
      <c r="S181" s="5" t="s">
        <v>599</v>
      </c>
      <c r="T181" s="5" t="s">
        <v>600</v>
      </c>
      <c r="U181" s="9" t="s">
        <v>3953</v>
      </c>
      <c r="V181" s="8"/>
      <c r="W181" s="8" t="s">
        <v>2966</v>
      </c>
      <c r="X181" s="8" t="s">
        <v>3696</v>
      </c>
    </row>
    <row r="182" spans="1:24" ht="11.25">
      <c r="A182" s="5" t="s">
        <v>601</v>
      </c>
      <c r="B182" s="5" t="s">
        <v>602</v>
      </c>
      <c r="C182" s="6" t="s">
        <v>603</v>
      </c>
      <c r="D182" s="6"/>
      <c r="E182" s="6"/>
      <c r="F182" s="5" t="s">
        <v>3588</v>
      </c>
      <c r="G182" s="5"/>
      <c r="H182" s="6" t="s">
        <v>3864</v>
      </c>
      <c r="I182" s="5">
        <v>3729</v>
      </c>
      <c r="J182" s="5">
        <v>12234</v>
      </c>
      <c r="K182" s="7" t="str">
        <f>HYPERLINK("http://www.centcols.org/util/geo/visuGen.php?code=US-CO-3729","US-CO-3729")</f>
        <v>US-CO-3729</v>
      </c>
      <c r="L182" s="8" t="s">
        <v>604</v>
      </c>
      <c r="M182" s="8" t="s">
        <v>3222</v>
      </c>
      <c r="N182" s="8">
        <v>15</v>
      </c>
      <c r="O182" s="8">
        <v>99</v>
      </c>
      <c r="P182" s="8" t="s">
        <v>3338</v>
      </c>
      <c r="Q182" s="5">
        <v>-107.4766887</v>
      </c>
      <c r="R182" s="5">
        <v>37.6613506</v>
      </c>
      <c r="S182" s="5" t="s">
        <v>605</v>
      </c>
      <c r="T182" s="5" t="s">
        <v>606</v>
      </c>
      <c r="U182" s="8"/>
      <c r="V182" s="8" t="s">
        <v>593</v>
      </c>
      <c r="W182" s="8" t="s">
        <v>2966</v>
      </c>
      <c r="X182" s="8" t="s">
        <v>3085</v>
      </c>
    </row>
    <row r="183" spans="1:24" ht="22.5">
      <c r="A183" s="5" t="s">
        <v>607</v>
      </c>
      <c r="B183" s="5" t="s">
        <v>608</v>
      </c>
      <c r="C183" s="6" t="s">
        <v>609</v>
      </c>
      <c r="D183" s="6"/>
      <c r="E183" s="6"/>
      <c r="F183" s="5" t="s">
        <v>3588</v>
      </c>
      <c r="G183" s="5"/>
      <c r="H183" s="6" t="s">
        <v>3699</v>
      </c>
      <c r="I183" s="5">
        <v>3731</v>
      </c>
      <c r="J183" s="5">
        <v>12241</v>
      </c>
      <c r="K183" s="7" t="str">
        <f>HYPERLINK("http://www.centcols.org/util/geo/visuGen.php?code=US-CO-3731","US-CO-3731")</f>
        <v>US-CO-3731</v>
      </c>
      <c r="L183" s="8" t="s">
        <v>536</v>
      </c>
      <c r="M183" s="8" t="s">
        <v>3222</v>
      </c>
      <c r="N183" s="8">
        <v>15</v>
      </c>
      <c r="O183" s="8">
        <v>99</v>
      </c>
      <c r="P183" s="8" t="s">
        <v>3338</v>
      </c>
      <c r="Q183" s="5">
        <v>-106.7084295</v>
      </c>
      <c r="R183" s="5">
        <v>39.0529606</v>
      </c>
      <c r="S183" s="5" t="s">
        <v>610</v>
      </c>
      <c r="T183" s="5" t="s">
        <v>611</v>
      </c>
      <c r="U183" s="9" t="s">
        <v>612</v>
      </c>
      <c r="V183" s="8" t="s">
        <v>540</v>
      </c>
      <c r="W183" s="8" t="s">
        <v>2966</v>
      </c>
      <c r="X183" s="8" t="s">
        <v>3696</v>
      </c>
    </row>
    <row r="184" spans="1:24" ht="22.5">
      <c r="A184" s="5" t="s">
        <v>613</v>
      </c>
      <c r="B184" s="5" t="s">
        <v>614</v>
      </c>
      <c r="C184" s="6" t="s">
        <v>615</v>
      </c>
      <c r="D184" s="6"/>
      <c r="E184" s="6"/>
      <c r="F184" s="5" t="s">
        <v>3588</v>
      </c>
      <c r="G184" s="5"/>
      <c r="H184" s="6" t="s">
        <v>3834</v>
      </c>
      <c r="I184" s="5">
        <v>3733</v>
      </c>
      <c r="J184" s="5">
        <v>12247</v>
      </c>
      <c r="K184" s="7" t="str">
        <f>HYPERLINK("http://www.centcols.org/util/geo/visuGen.php?code=US-CO-3733","US-CO-3733")</f>
        <v>US-CO-3733</v>
      </c>
      <c r="L184" s="8" t="s">
        <v>616</v>
      </c>
      <c r="M184" s="8" t="s">
        <v>3222</v>
      </c>
      <c r="N184" s="8">
        <v>15</v>
      </c>
      <c r="O184" s="8">
        <v>99</v>
      </c>
      <c r="P184" s="8" t="s">
        <v>3338</v>
      </c>
      <c r="Q184" s="5">
        <v>-105.8537704</v>
      </c>
      <c r="R184" s="5">
        <v>39.5273047</v>
      </c>
      <c r="S184" s="5" t="s">
        <v>617</v>
      </c>
      <c r="T184" s="5" t="s">
        <v>618</v>
      </c>
      <c r="U184" s="9" t="s">
        <v>547</v>
      </c>
      <c r="V184" s="8" t="s">
        <v>619</v>
      </c>
      <c r="W184" s="8" t="s">
        <v>2966</v>
      </c>
      <c r="X184" s="8" t="s">
        <v>3696</v>
      </c>
    </row>
    <row r="185" spans="1:24" ht="22.5">
      <c r="A185" s="5" t="s">
        <v>620</v>
      </c>
      <c r="B185" s="5" t="s">
        <v>621</v>
      </c>
      <c r="C185" s="6" t="s">
        <v>622</v>
      </c>
      <c r="D185" s="6"/>
      <c r="E185" s="6"/>
      <c r="F185" s="5" t="s">
        <v>3588</v>
      </c>
      <c r="G185" s="5"/>
      <c r="H185" s="6" t="s">
        <v>597</v>
      </c>
      <c r="I185" s="5">
        <v>3736</v>
      </c>
      <c r="J185" s="5">
        <v>12257</v>
      </c>
      <c r="K185" s="7" t="str">
        <f>HYPERLINK("http://www.centcols.org/util/geo/visuGen.php?code=US-CO-3736","US-CO-3736")</f>
        <v>US-CO-3736</v>
      </c>
      <c r="L185" s="8" t="s">
        <v>623</v>
      </c>
      <c r="M185" s="8" t="s">
        <v>3222</v>
      </c>
      <c r="N185" s="8">
        <v>15</v>
      </c>
      <c r="O185" s="8">
        <v>99</v>
      </c>
      <c r="P185" s="8" t="s">
        <v>3338</v>
      </c>
      <c r="Q185" s="5">
        <v>-107.6224995</v>
      </c>
      <c r="R185" s="5">
        <v>38.029441</v>
      </c>
      <c r="S185" s="5" t="s">
        <v>624</v>
      </c>
      <c r="T185" s="5" t="s">
        <v>625</v>
      </c>
      <c r="U185" s="9" t="s">
        <v>626</v>
      </c>
      <c r="V185" s="8" t="s">
        <v>627</v>
      </c>
      <c r="W185" s="8" t="s">
        <v>2966</v>
      </c>
      <c r="X185" s="8" t="s">
        <v>3638</v>
      </c>
    </row>
    <row r="186" spans="1:24" ht="22.5">
      <c r="A186" s="5" t="s">
        <v>628</v>
      </c>
      <c r="B186" s="5" t="s">
        <v>629</v>
      </c>
      <c r="C186" s="6" t="s">
        <v>630</v>
      </c>
      <c r="D186" s="6"/>
      <c r="E186" s="6"/>
      <c r="F186" s="5" t="s">
        <v>3588</v>
      </c>
      <c r="G186" s="5"/>
      <c r="H186" s="6" t="s">
        <v>3699</v>
      </c>
      <c r="I186" s="5">
        <v>3740</v>
      </c>
      <c r="J186" s="5">
        <v>12270</v>
      </c>
      <c r="K186" s="7" t="str">
        <f>HYPERLINK("http://www.centcols.org/util/geo/visuGen.php?code=US-CO-3740","US-CO-3740")</f>
        <v>US-CO-3740</v>
      </c>
      <c r="L186" s="8" t="s">
        <v>536</v>
      </c>
      <c r="M186" s="8" t="s">
        <v>3222</v>
      </c>
      <c r="N186" s="8">
        <v>15</v>
      </c>
      <c r="O186" s="8">
        <v>99</v>
      </c>
      <c r="P186" s="8" t="s">
        <v>3338</v>
      </c>
      <c r="Q186" s="5">
        <v>-106.6950994</v>
      </c>
      <c r="R186" s="5">
        <v>39.0552907</v>
      </c>
      <c r="S186" s="5" t="s">
        <v>631</v>
      </c>
      <c r="T186" s="5" t="s">
        <v>632</v>
      </c>
      <c r="U186" s="9" t="s">
        <v>568</v>
      </c>
      <c r="V186" s="8" t="s">
        <v>540</v>
      </c>
      <c r="W186" s="8" t="s">
        <v>2966</v>
      </c>
      <c r="X186" s="8" t="s">
        <v>3696</v>
      </c>
    </row>
    <row r="187" spans="1:24" ht="33.75">
      <c r="A187" s="5" t="s">
        <v>633</v>
      </c>
      <c r="B187" s="5" t="s">
        <v>634</v>
      </c>
      <c r="C187" s="6" t="s">
        <v>635</v>
      </c>
      <c r="D187" s="6"/>
      <c r="E187" s="6"/>
      <c r="F187" s="5" t="s">
        <v>3588</v>
      </c>
      <c r="G187" s="5"/>
      <c r="H187" s="6" t="s">
        <v>597</v>
      </c>
      <c r="I187" s="5">
        <v>3748</v>
      </c>
      <c r="J187" s="5">
        <v>12296</v>
      </c>
      <c r="K187" s="7" t="str">
        <f>HYPERLINK("http://www.centcols.org/util/geo/visuGen.php?code=US-CO-3748","US-CO-3748")</f>
        <v>US-CO-3748</v>
      </c>
      <c r="L187" s="8" t="s">
        <v>636</v>
      </c>
      <c r="M187" s="8" t="s">
        <v>3222</v>
      </c>
      <c r="N187" s="8">
        <v>15</v>
      </c>
      <c r="O187" s="8">
        <v>99</v>
      </c>
      <c r="P187" s="8"/>
      <c r="Q187" s="5">
        <v>-107.5774992</v>
      </c>
      <c r="R187" s="5">
        <v>38.0016708</v>
      </c>
      <c r="S187" s="5" t="s">
        <v>637</v>
      </c>
      <c r="T187" s="5" t="s">
        <v>638</v>
      </c>
      <c r="U187" s="9" t="s">
        <v>639</v>
      </c>
      <c r="V187" s="8"/>
      <c r="W187" s="8" t="s">
        <v>2966</v>
      </c>
      <c r="X187" s="8" t="s">
        <v>3696</v>
      </c>
    </row>
    <row r="188" spans="1:24" ht="33.75">
      <c r="A188" s="5" t="s">
        <v>640</v>
      </c>
      <c r="B188" s="5" t="s">
        <v>641</v>
      </c>
      <c r="C188" s="6" t="s">
        <v>642</v>
      </c>
      <c r="D188" s="6"/>
      <c r="E188" s="6"/>
      <c r="F188" s="5" t="s">
        <v>3588</v>
      </c>
      <c r="G188" s="5"/>
      <c r="H188" s="6" t="s">
        <v>3742</v>
      </c>
      <c r="I188" s="5">
        <v>3759</v>
      </c>
      <c r="J188" s="5">
        <v>12333</v>
      </c>
      <c r="K188" s="7" t="str">
        <f>HYPERLINK("http://www.centcols.org/util/geo/visuGen.php?code=US-CO-3759","US-CO-3759")</f>
        <v>US-CO-3759</v>
      </c>
      <c r="L188" s="8" t="s">
        <v>616</v>
      </c>
      <c r="M188" s="8" t="s">
        <v>3222</v>
      </c>
      <c r="N188" s="8">
        <v>15</v>
      </c>
      <c r="O188" s="8">
        <v>99</v>
      </c>
      <c r="P188" s="8" t="s">
        <v>3338</v>
      </c>
      <c r="Q188" s="5">
        <v>-106.5431195</v>
      </c>
      <c r="R188" s="5">
        <v>39.4087206</v>
      </c>
      <c r="S188" s="5" t="s">
        <v>643</v>
      </c>
      <c r="T188" s="5" t="s">
        <v>644</v>
      </c>
      <c r="U188" s="9" t="s">
        <v>645</v>
      </c>
      <c r="V188" s="8" t="s">
        <v>619</v>
      </c>
      <c r="W188" s="8" t="s">
        <v>2966</v>
      </c>
      <c r="X188" s="8" t="s">
        <v>3638</v>
      </c>
    </row>
    <row r="189" spans="1:24" ht="22.5">
      <c r="A189" s="5" t="s">
        <v>646</v>
      </c>
      <c r="B189" s="5" t="s">
        <v>647</v>
      </c>
      <c r="C189" s="6" t="s">
        <v>648</v>
      </c>
      <c r="D189" s="6"/>
      <c r="E189" s="6"/>
      <c r="F189" s="5" t="s">
        <v>3588</v>
      </c>
      <c r="G189" s="5"/>
      <c r="H189" s="6" t="s">
        <v>3742</v>
      </c>
      <c r="I189" s="5">
        <v>3766</v>
      </c>
      <c r="J189" s="5">
        <v>12355</v>
      </c>
      <c r="K189" s="7" t="str">
        <f>HYPERLINK("http://www.centcols.org/util/geo/visuGen.php?code=US-CO-3766","US-CO-3766")</f>
        <v>US-CO-3766</v>
      </c>
      <c r="L189" s="8" t="s">
        <v>649</v>
      </c>
      <c r="M189" s="8" t="s">
        <v>2962</v>
      </c>
      <c r="N189" s="8">
        <v>20</v>
      </c>
      <c r="O189" s="8">
        <v>99</v>
      </c>
      <c r="P189" s="8" t="s">
        <v>3338</v>
      </c>
      <c r="Q189" s="5">
        <v>-106.2389493</v>
      </c>
      <c r="R189" s="5">
        <v>39.6763106</v>
      </c>
      <c r="S189" s="5" t="s">
        <v>650</v>
      </c>
      <c r="T189" s="5" t="s">
        <v>651</v>
      </c>
      <c r="U189" s="9" t="s">
        <v>652</v>
      </c>
      <c r="V189" s="8" t="s">
        <v>653</v>
      </c>
      <c r="W189" s="8" t="s">
        <v>2966</v>
      </c>
      <c r="X189" s="8" t="s">
        <v>3638</v>
      </c>
    </row>
    <row r="190" spans="1:24" ht="33.75">
      <c r="A190" s="5" t="s">
        <v>654</v>
      </c>
      <c r="B190" s="5" t="s">
        <v>655</v>
      </c>
      <c r="C190" s="6" t="s">
        <v>656</v>
      </c>
      <c r="D190" s="6"/>
      <c r="E190" s="6"/>
      <c r="F190" s="5" t="s">
        <v>3588</v>
      </c>
      <c r="G190" s="5"/>
      <c r="H190" s="6" t="s">
        <v>3864</v>
      </c>
      <c r="I190" s="5">
        <v>3768</v>
      </c>
      <c r="J190" s="5">
        <v>12362</v>
      </c>
      <c r="K190" s="7" t="str">
        <f>HYPERLINK("http://www.centcols.org/util/geo/visuGen.php?code=US-CO-3768","US-CO-3768")</f>
        <v>US-CO-3768</v>
      </c>
      <c r="L190" s="8" t="s">
        <v>657</v>
      </c>
      <c r="M190" s="8" t="s">
        <v>3113</v>
      </c>
      <c r="N190" s="8">
        <v>10</v>
      </c>
      <c r="O190" s="8">
        <v>35</v>
      </c>
      <c r="P190" s="8"/>
      <c r="Q190" s="5">
        <v>-107.3679489</v>
      </c>
      <c r="R190" s="5">
        <v>37.8564711</v>
      </c>
      <c r="S190" s="5" t="s">
        <v>658</v>
      </c>
      <c r="T190" s="5" t="s">
        <v>659</v>
      </c>
      <c r="U190" s="9" t="s">
        <v>660</v>
      </c>
      <c r="V190" s="8"/>
      <c r="W190" s="8" t="s">
        <v>2966</v>
      </c>
      <c r="X190" s="8" t="s">
        <v>3696</v>
      </c>
    </row>
    <row r="191" spans="1:24" ht="33.75">
      <c r="A191" s="5" t="s">
        <v>661</v>
      </c>
      <c r="B191" s="5" t="s">
        <v>662</v>
      </c>
      <c r="C191" s="6" t="s">
        <v>663</v>
      </c>
      <c r="D191" s="6"/>
      <c r="E191" s="6"/>
      <c r="F191" s="5" t="s">
        <v>3588</v>
      </c>
      <c r="G191" s="5"/>
      <c r="H191" s="6" t="s">
        <v>3864</v>
      </c>
      <c r="I191" s="5">
        <v>3771</v>
      </c>
      <c r="J191" s="5">
        <v>12372</v>
      </c>
      <c r="K191" s="7" t="str">
        <f>HYPERLINK("http://www.centcols.org/util/geo/visuGen.php?code=US-CO-3771a","US-CO-3771a")</f>
        <v>US-CO-3771a</v>
      </c>
      <c r="L191" s="8" t="s">
        <v>604</v>
      </c>
      <c r="M191" s="8" t="s">
        <v>3222</v>
      </c>
      <c r="N191" s="8">
        <v>15</v>
      </c>
      <c r="O191" s="8">
        <v>99</v>
      </c>
      <c r="P191" s="8" t="s">
        <v>3338</v>
      </c>
      <c r="Q191" s="5">
        <v>-107.4245591</v>
      </c>
      <c r="R191" s="5">
        <v>37.6349608</v>
      </c>
      <c r="S191" s="5" t="s">
        <v>664</v>
      </c>
      <c r="T191" s="5" t="s">
        <v>665</v>
      </c>
      <c r="U191" s="9" t="s">
        <v>666</v>
      </c>
      <c r="V191" s="8" t="s">
        <v>593</v>
      </c>
      <c r="W191" s="8" t="s">
        <v>2966</v>
      </c>
      <c r="X191" s="8" t="s">
        <v>3638</v>
      </c>
    </row>
    <row r="192" spans="1:24" ht="22.5">
      <c r="A192" s="5" t="s">
        <v>667</v>
      </c>
      <c r="B192" s="5" t="s">
        <v>668</v>
      </c>
      <c r="C192" s="6" t="s">
        <v>669</v>
      </c>
      <c r="D192" s="6"/>
      <c r="E192" s="6"/>
      <c r="F192" s="5" t="s">
        <v>3588</v>
      </c>
      <c r="G192" s="5"/>
      <c r="H192" s="6" t="s">
        <v>520</v>
      </c>
      <c r="I192" s="5">
        <v>3792</v>
      </c>
      <c r="J192" s="5">
        <v>12441</v>
      </c>
      <c r="K192" s="7" t="str">
        <f>HYPERLINK("http://www.centcols.org/util/geo/visuGen.php?code=US-CO-3792","US-CO-3792")</f>
        <v>US-CO-3792</v>
      </c>
      <c r="L192" s="8" t="s">
        <v>670</v>
      </c>
      <c r="M192" s="8" t="s">
        <v>671</v>
      </c>
      <c r="N192" s="8">
        <v>10</v>
      </c>
      <c r="O192" s="8">
        <v>35</v>
      </c>
      <c r="P192" s="8"/>
      <c r="Q192" s="5">
        <v>-107.8391458</v>
      </c>
      <c r="R192" s="5">
        <v>37.77855</v>
      </c>
      <c r="S192" s="5" t="s">
        <v>672</v>
      </c>
      <c r="T192" s="5" t="s">
        <v>673</v>
      </c>
      <c r="U192" s="9" t="s">
        <v>3904</v>
      </c>
      <c r="V192" s="8"/>
      <c r="W192" s="8" t="s">
        <v>2966</v>
      </c>
      <c r="X192" s="8" t="s">
        <v>3696</v>
      </c>
    </row>
    <row r="193" spans="1:24" ht="22.5">
      <c r="A193" s="5" t="s">
        <v>674</v>
      </c>
      <c r="B193" s="5" t="s">
        <v>675</v>
      </c>
      <c r="C193" s="6" t="s">
        <v>676</v>
      </c>
      <c r="D193" s="6"/>
      <c r="E193" s="6"/>
      <c r="F193" s="5" t="s">
        <v>3588</v>
      </c>
      <c r="G193" s="5"/>
      <c r="H193" s="6" t="s">
        <v>564</v>
      </c>
      <c r="I193" s="5">
        <v>3797</v>
      </c>
      <c r="J193" s="5">
        <v>12457</v>
      </c>
      <c r="K193" s="7" t="str">
        <f>HYPERLINK("http://www.centcols.org/util/geo/visuGen.php?code=US-CO-3797a","US-CO-3797a")</f>
        <v>US-CO-3797a</v>
      </c>
      <c r="L193" s="8" t="s">
        <v>536</v>
      </c>
      <c r="M193" s="8" t="s">
        <v>2962</v>
      </c>
      <c r="N193" s="8">
        <v>20</v>
      </c>
      <c r="O193" s="8">
        <v>99</v>
      </c>
      <c r="P193" s="8" t="s">
        <v>3338</v>
      </c>
      <c r="Q193" s="5">
        <v>-106.7007265</v>
      </c>
      <c r="R193" s="5">
        <v>39.0700627</v>
      </c>
      <c r="S193" s="5" t="s">
        <v>677</v>
      </c>
      <c r="T193" s="5" t="s">
        <v>678</v>
      </c>
      <c r="U193" s="9" t="s">
        <v>568</v>
      </c>
      <c r="V193" s="8" t="s">
        <v>540</v>
      </c>
      <c r="W193" s="8" t="s">
        <v>2966</v>
      </c>
      <c r="X193" s="8" t="s">
        <v>3696</v>
      </c>
    </row>
    <row r="194" spans="1:24" ht="33.75">
      <c r="A194" s="5" t="s">
        <v>679</v>
      </c>
      <c r="B194" s="5" t="s">
        <v>680</v>
      </c>
      <c r="C194" s="6" t="s">
        <v>681</v>
      </c>
      <c r="D194" s="6"/>
      <c r="E194" s="6"/>
      <c r="F194" s="5" t="s">
        <v>3588</v>
      </c>
      <c r="G194" s="5"/>
      <c r="H194" s="6" t="s">
        <v>3889</v>
      </c>
      <c r="I194" s="5">
        <v>3800</v>
      </c>
      <c r="J194" s="5">
        <v>12467</v>
      </c>
      <c r="K194" s="7" t="str">
        <f>HYPERLINK("http://www.centcols.org/util/geo/visuGen.php?code=US-CO-3800","US-CO-3800")</f>
        <v>US-CO-3800</v>
      </c>
      <c r="L194" s="8" t="s">
        <v>682</v>
      </c>
      <c r="M194" s="8" t="s">
        <v>3222</v>
      </c>
      <c r="N194" s="8">
        <v>15</v>
      </c>
      <c r="O194" s="8">
        <v>99</v>
      </c>
      <c r="P194" s="8" t="s">
        <v>3338</v>
      </c>
      <c r="Q194" s="5">
        <v>-105.7222191</v>
      </c>
      <c r="R194" s="5">
        <v>38.1936108</v>
      </c>
      <c r="S194" s="5" t="s">
        <v>683</v>
      </c>
      <c r="T194" s="5" t="s">
        <v>684</v>
      </c>
      <c r="U194" s="9" t="s">
        <v>3777</v>
      </c>
      <c r="V194" s="8" t="s">
        <v>439</v>
      </c>
      <c r="W194" s="8" t="s">
        <v>2966</v>
      </c>
      <c r="X194" s="8" t="s">
        <v>3696</v>
      </c>
    </row>
    <row r="195" spans="1:24" ht="22.5">
      <c r="A195" s="5" t="s">
        <v>685</v>
      </c>
      <c r="B195" s="5" t="s">
        <v>686</v>
      </c>
      <c r="C195" s="6" t="s">
        <v>687</v>
      </c>
      <c r="D195" s="6"/>
      <c r="E195" s="6"/>
      <c r="F195" s="5" t="s">
        <v>3588</v>
      </c>
      <c r="G195" s="5"/>
      <c r="H195" s="6" t="s">
        <v>520</v>
      </c>
      <c r="I195" s="5">
        <v>3804</v>
      </c>
      <c r="J195" s="5">
        <v>12480</v>
      </c>
      <c r="K195" s="7" t="str">
        <f>HYPERLINK("http://www.centcols.org/util/geo/visuGen.php?code=US-CO-3804","US-CO-3804")</f>
        <v>US-CO-3804</v>
      </c>
      <c r="L195" s="8" t="s">
        <v>604</v>
      </c>
      <c r="M195" s="8" t="s">
        <v>471</v>
      </c>
      <c r="N195" s="8">
        <v>15</v>
      </c>
      <c r="O195" s="8">
        <v>99</v>
      </c>
      <c r="P195" s="8" t="s">
        <v>3338</v>
      </c>
      <c r="Q195" s="5">
        <v>-107.5008675</v>
      </c>
      <c r="R195" s="5">
        <v>37.6814676</v>
      </c>
      <c r="S195" s="5" t="s">
        <v>688</v>
      </c>
      <c r="T195" s="5" t="s">
        <v>689</v>
      </c>
      <c r="U195" s="9" t="s">
        <v>690</v>
      </c>
      <c r="V195" s="8" t="s">
        <v>593</v>
      </c>
      <c r="W195" s="8" t="s">
        <v>2966</v>
      </c>
      <c r="X195" s="8" t="s">
        <v>3696</v>
      </c>
    </row>
    <row r="196" spans="1:24" ht="22.5">
      <c r="A196" s="5" t="s">
        <v>691</v>
      </c>
      <c r="B196" s="5" t="s">
        <v>692</v>
      </c>
      <c r="C196" s="6" t="s">
        <v>693</v>
      </c>
      <c r="D196" s="6"/>
      <c r="E196" s="6"/>
      <c r="F196" s="5" t="s">
        <v>3588</v>
      </c>
      <c r="G196" s="5"/>
      <c r="H196" s="6" t="s">
        <v>694</v>
      </c>
      <c r="I196" s="5">
        <v>3811</v>
      </c>
      <c r="J196" s="5">
        <v>12503</v>
      </c>
      <c r="K196" s="7" t="str">
        <f>HYPERLINK("http://www.centcols.org/util/geo/visuGen.php?code=US-CO-3811","US-CO-3811")</f>
        <v>US-CO-3811</v>
      </c>
      <c r="L196" s="8" t="s">
        <v>623</v>
      </c>
      <c r="M196" s="8" t="s">
        <v>2988</v>
      </c>
      <c r="N196" s="8">
        <v>10</v>
      </c>
      <c r="O196" s="8">
        <v>35</v>
      </c>
      <c r="P196" s="8" t="s">
        <v>3338</v>
      </c>
      <c r="Q196" s="5">
        <v>-107.5463889</v>
      </c>
      <c r="R196" s="5">
        <v>38.079721</v>
      </c>
      <c r="S196" s="5" t="s">
        <v>695</v>
      </c>
      <c r="T196" s="5" t="s">
        <v>696</v>
      </c>
      <c r="U196" s="9" t="s">
        <v>697</v>
      </c>
      <c r="V196" s="8" t="s">
        <v>627</v>
      </c>
      <c r="W196" s="8" t="s">
        <v>2966</v>
      </c>
      <c r="X196" s="8" t="s">
        <v>698</v>
      </c>
    </row>
    <row r="197" spans="1:24" ht="22.5">
      <c r="A197" s="5" t="s">
        <v>699</v>
      </c>
      <c r="B197" s="5" t="s">
        <v>700</v>
      </c>
      <c r="C197" s="6" t="s">
        <v>701</v>
      </c>
      <c r="D197" s="6"/>
      <c r="E197" s="6"/>
      <c r="F197" s="5" t="s">
        <v>3588</v>
      </c>
      <c r="G197" s="5"/>
      <c r="H197" s="6" t="s">
        <v>564</v>
      </c>
      <c r="I197" s="5">
        <v>3814</v>
      </c>
      <c r="J197" s="5">
        <v>12513</v>
      </c>
      <c r="K197" s="7" t="str">
        <f>HYPERLINK("http://www.centcols.org/util/geo/visuGen.php?code=US-CO-3814","US-CO-3814")</f>
        <v>US-CO-3814</v>
      </c>
      <c r="L197" s="8" t="s">
        <v>565</v>
      </c>
      <c r="M197" s="8" t="s">
        <v>3222</v>
      </c>
      <c r="N197" s="8">
        <v>15</v>
      </c>
      <c r="O197" s="8">
        <v>99</v>
      </c>
      <c r="P197" s="8" t="s">
        <v>3338</v>
      </c>
      <c r="Q197" s="5">
        <v>-107.0735069</v>
      </c>
      <c r="R197" s="5">
        <v>39.1632569</v>
      </c>
      <c r="S197" s="5" t="s">
        <v>702</v>
      </c>
      <c r="T197" s="5" t="s">
        <v>703</v>
      </c>
      <c r="U197" s="9" t="s">
        <v>704</v>
      </c>
      <c r="V197" s="8" t="s">
        <v>705</v>
      </c>
      <c r="W197" s="8" t="s">
        <v>2966</v>
      </c>
      <c r="X197" s="8" t="s">
        <v>3638</v>
      </c>
    </row>
    <row r="198" spans="1:24" ht="22.5">
      <c r="A198" s="5" t="s">
        <v>706</v>
      </c>
      <c r="B198" s="5" t="s">
        <v>707</v>
      </c>
      <c r="C198" s="6" t="s">
        <v>708</v>
      </c>
      <c r="D198" s="6"/>
      <c r="E198" s="6"/>
      <c r="F198" s="5" t="s">
        <v>3588</v>
      </c>
      <c r="G198" s="5"/>
      <c r="H198" s="6" t="s">
        <v>3742</v>
      </c>
      <c r="I198" s="5">
        <v>3817</v>
      </c>
      <c r="J198" s="5">
        <v>12523</v>
      </c>
      <c r="K198" s="7" t="str">
        <f>HYPERLINK("http://www.centcols.org/util/geo/visuGen.php?code=US-CO-3817","US-CO-3817")</f>
        <v>US-CO-3817</v>
      </c>
      <c r="L198" s="8" t="s">
        <v>649</v>
      </c>
      <c r="M198" s="8" t="s">
        <v>3222</v>
      </c>
      <c r="N198" s="8">
        <v>15</v>
      </c>
      <c r="O198" s="8">
        <v>99</v>
      </c>
      <c r="P198" s="8" t="s">
        <v>3338</v>
      </c>
      <c r="Q198" s="5">
        <v>-106.2177996</v>
      </c>
      <c r="R198" s="5">
        <v>39.6527087</v>
      </c>
      <c r="S198" s="5" t="s">
        <v>709</v>
      </c>
      <c r="T198" s="5" t="s">
        <v>710</v>
      </c>
      <c r="U198" s="9" t="s">
        <v>652</v>
      </c>
      <c r="V198" s="8" t="s">
        <v>653</v>
      </c>
      <c r="W198" s="8" t="s">
        <v>2966</v>
      </c>
      <c r="X198" s="8" t="s">
        <v>3638</v>
      </c>
    </row>
    <row r="199" spans="1:24" ht="22.5">
      <c r="A199" s="5" t="s">
        <v>711</v>
      </c>
      <c r="B199" s="5" t="s">
        <v>712</v>
      </c>
      <c r="C199" s="6" t="s">
        <v>713</v>
      </c>
      <c r="D199" s="6"/>
      <c r="E199" s="6"/>
      <c r="F199" s="5" t="s">
        <v>3588</v>
      </c>
      <c r="G199" s="5"/>
      <c r="H199" s="6" t="s">
        <v>3485</v>
      </c>
      <c r="I199" s="5">
        <v>3823</v>
      </c>
      <c r="J199" s="5">
        <v>12542</v>
      </c>
      <c r="K199" s="7" t="str">
        <f>HYPERLINK("http://www.centcols.org/util/geo/visuGen.php?code=US-CO-3823","US-CO-3823")</f>
        <v>US-CO-3823</v>
      </c>
      <c r="L199" s="8" t="s">
        <v>714</v>
      </c>
      <c r="M199" s="8" t="s">
        <v>3222</v>
      </c>
      <c r="N199" s="8">
        <v>15</v>
      </c>
      <c r="O199" s="8">
        <v>99</v>
      </c>
      <c r="P199" s="8" t="s">
        <v>3338</v>
      </c>
      <c r="Q199" s="5">
        <v>-106.5783091</v>
      </c>
      <c r="R199" s="5">
        <v>39.0582206</v>
      </c>
      <c r="S199" s="5" t="s">
        <v>715</v>
      </c>
      <c r="T199" s="5" t="s">
        <v>716</v>
      </c>
      <c r="U199" s="9" t="s">
        <v>568</v>
      </c>
      <c r="V199" s="8" t="s">
        <v>540</v>
      </c>
      <c r="W199" s="8" t="s">
        <v>2966</v>
      </c>
      <c r="X199" s="8" t="s">
        <v>3696</v>
      </c>
    </row>
    <row r="200" spans="1:24" ht="22.5">
      <c r="A200" s="5" t="s">
        <v>717</v>
      </c>
      <c r="B200" s="5" t="s">
        <v>718</v>
      </c>
      <c r="C200" s="6" t="s">
        <v>719</v>
      </c>
      <c r="D200" s="6"/>
      <c r="E200" s="6"/>
      <c r="F200" s="5" t="s">
        <v>3588</v>
      </c>
      <c r="G200" s="5"/>
      <c r="H200" s="6" t="s">
        <v>520</v>
      </c>
      <c r="I200" s="5">
        <v>3824</v>
      </c>
      <c r="J200" s="5">
        <v>12546</v>
      </c>
      <c r="K200" s="7" t="str">
        <f>HYPERLINK("http://www.centcols.org/util/geo/visuGen.php?code=US-CO-3824","US-CO-3824")</f>
        <v>US-CO-3824</v>
      </c>
      <c r="L200" s="8" t="s">
        <v>589</v>
      </c>
      <c r="M200" s="8" t="s">
        <v>471</v>
      </c>
      <c r="N200" s="8">
        <v>15</v>
      </c>
      <c r="O200" s="8">
        <v>99</v>
      </c>
      <c r="P200" s="8"/>
      <c r="Q200" s="5">
        <v>-107.524689</v>
      </c>
      <c r="R200" s="5">
        <v>37.8140011</v>
      </c>
      <c r="S200" s="5" t="s">
        <v>720</v>
      </c>
      <c r="T200" s="5" t="s">
        <v>721</v>
      </c>
      <c r="U200" s="9" t="s">
        <v>3940</v>
      </c>
      <c r="V200" s="8"/>
      <c r="W200" s="8" t="s">
        <v>2966</v>
      </c>
      <c r="X200" s="8" t="s">
        <v>3696</v>
      </c>
    </row>
    <row r="201" spans="1:24" ht="33.75">
      <c r="A201" s="5" t="s">
        <v>722</v>
      </c>
      <c r="B201" s="5" t="s">
        <v>723</v>
      </c>
      <c r="C201" s="6" t="s">
        <v>724</v>
      </c>
      <c r="D201" s="6"/>
      <c r="E201" s="6"/>
      <c r="F201" s="5" t="s">
        <v>3588</v>
      </c>
      <c r="G201" s="5"/>
      <c r="H201" s="6" t="s">
        <v>3964</v>
      </c>
      <c r="I201" s="5">
        <v>3825</v>
      </c>
      <c r="J201" s="5">
        <v>12549</v>
      </c>
      <c r="K201" s="7" t="str">
        <f>HYPERLINK("http://www.centcols.org/util/geo/visuGen.php?code=US-CO-3825b","US-CO-3825b")</f>
        <v>US-CO-3825b</v>
      </c>
      <c r="L201" s="8" t="s">
        <v>725</v>
      </c>
      <c r="M201" s="8" t="s">
        <v>3222</v>
      </c>
      <c r="N201" s="8">
        <v>15</v>
      </c>
      <c r="O201" s="8">
        <v>99</v>
      </c>
      <c r="P201" s="8"/>
      <c r="Q201" s="5">
        <v>-106.3167292</v>
      </c>
      <c r="R201" s="5">
        <v>38.6334606</v>
      </c>
      <c r="S201" s="5" t="s">
        <v>2204</v>
      </c>
      <c r="T201" s="5" t="s">
        <v>2205</v>
      </c>
      <c r="U201" s="9" t="s">
        <v>3777</v>
      </c>
      <c r="V201" s="9"/>
      <c r="W201" s="8" t="s">
        <v>2966</v>
      </c>
      <c r="X201" s="8" t="s">
        <v>3696</v>
      </c>
    </row>
    <row r="202" spans="1:24" ht="33.75">
      <c r="A202" s="5" t="s">
        <v>2206</v>
      </c>
      <c r="B202" s="5" t="s">
        <v>2207</v>
      </c>
      <c r="C202" s="6" t="s">
        <v>2208</v>
      </c>
      <c r="D202" s="6"/>
      <c r="E202" s="6"/>
      <c r="F202" s="5" t="s">
        <v>3588</v>
      </c>
      <c r="G202" s="5"/>
      <c r="H202" s="6" t="s">
        <v>597</v>
      </c>
      <c r="I202" s="5">
        <v>3827</v>
      </c>
      <c r="J202" s="5">
        <v>12556</v>
      </c>
      <c r="K202" s="7" t="str">
        <f>HYPERLINK("http://www.centcols.org/util/geo/visuGen.php?code=US-CO-3827","US-CO-3827")</f>
        <v>US-CO-3827</v>
      </c>
      <c r="L202" s="8" t="s">
        <v>623</v>
      </c>
      <c r="M202" s="8" t="s">
        <v>3222</v>
      </c>
      <c r="N202" s="8">
        <v>15</v>
      </c>
      <c r="O202" s="8">
        <v>99</v>
      </c>
      <c r="P202" s="8" t="s">
        <v>3338</v>
      </c>
      <c r="Q202" s="5">
        <v>-107.5222195</v>
      </c>
      <c r="R202" s="5">
        <v>38.0419411</v>
      </c>
      <c r="S202" s="5" t="s">
        <v>2209</v>
      </c>
      <c r="T202" s="5" t="s">
        <v>2210</v>
      </c>
      <c r="U202" s="9" t="s">
        <v>3777</v>
      </c>
      <c r="V202" s="8" t="s">
        <v>627</v>
      </c>
      <c r="W202" s="8" t="s">
        <v>2966</v>
      </c>
      <c r="X202" s="8" t="s">
        <v>3696</v>
      </c>
    </row>
    <row r="203" spans="1:24" ht="22.5">
      <c r="A203" s="5" t="s">
        <v>2211</v>
      </c>
      <c r="B203" s="5" t="s">
        <v>2212</v>
      </c>
      <c r="C203" s="6" t="s">
        <v>2213</v>
      </c>
      <c r="D203" s="6"/>
      <c r="E203" s="6"/>
      <c r="F203" s="5" t="s">
        <v>3588</v>
      </c>
      <c r="G203" s="5"/>
      <c r="H203" s="6" t="s">
        <v>3749</v>
      </c>
      <c r="I203" s="5">
        <v>3846</v>
      </c>
      <c r="J203" s="5">
        <v>12618</v>
      </c>
      <c r="K203" s="7" t="str">
        <f>HYPERLINK("http://www.centcols.org/util/geo/visuGen.php?code=US-CO-3846a","US-CO-3846a")</f>
        <v>US-CO-3846a</v>
      </c>
      <c r="L203" s="8" t="s">
        <v>2214</v>
      </c>
      <c r="M203" s="8" t="s">
        <v>3222</v>
      </c>
      <c r="N203" s="8">
        <v>15</v>
      </c>
      <c r="O203" s="8">
        <v>99</v>
      </c>
      <c r="P203" s="8"/>
      <c r="Q203" s="5">
        <v>-106.6047394</v>
      </c>
      <c r="R203" s="5">
        <v>38.9965619</v>
      </c>
      <c r="S203" s="5" t="s">
        <v>2215</v>
      </c>
      <c r="T203" s="5" t="s">
        <v>2216</v>
      </c>
      <c r="U203" s="9" t="s">
        <v>568</v>
      </c>
      <c r="V203" s="8" t="s">
        <v>540</v>
      </c>
      <c r="W203" s="8" t="s">
        <v>2966</v>
      </c>
      <c r="X203" s="8" t="s">
        <v>3696</v>
      </c>
    </row>
    <row r="204" spans="1:24" ht="22.5">
      <c r="A204" s="5" t="s">
        <v>2217</v>
      </c>
      <c r="B204" s="5" t="s">
        <v>2218</v>
      </c>
      <c r="C204" s="6" t="s">
        <v>2219</v>
      </c>
      <c r="D204" s="6"/>
      <c r="E204" s="6"/>
      <c r="F204" s="5" t="s">
        <v>3588</v>
      </c>
      <c r="G204" s="5"/>
      <c r="H204" s="6" t="s">
        <v>3699</v>
      </c>
      <c r="I204" s="5">
        <v>3850</v>
      </c>
      <c r="J204" s="5">
        <v>12631</v>
      </c>
      <c r="K204" s="7" t="str">
        <f>HYPERLINK("http://www.centcols.org/util/geo/visuGen.php?code=US-CO-3850","US-CO-3850")</f>
        <v>US-CO-3850</v>
      </c>
      <c r="L204" s="8" t="s">
        <v>536</v>
      </c>
      <c r="M204" s="8" t="s">
        <v>3222</v>
      </c>
      <c r="N204" s="8">
        <v>15</v>
      </c>
      <c r="O204" s="8">
        <v>99</v>
      </c>
      <c r="P204" s="8" t="s">
        <v>3338</v>
      </c>
      <c r="Q204" s="5">
        <v>-106.67036</v>
      </c>
      <c r="R204" s="5">
        <v>39.0436696</v>
      </c>
      <c r="S204" s="5" t="s">
        <v>2220</v>
      </c>
      <c r="T204" s="5" t="s">
        <v>2221</v>
      </c>
      <c r="U204" s="9" t="s">
        <v>3904</v>
      </c>
      <c r="V204" s="8" t="s">
        <v>540</v>
      </c>
      <c r="W204" s="8" t="s">
        <v>2966</v>
      </c>
      <c r="X204" s="8" t="s">
        <v>3696</v>
      </c>
    </row>
    <row r="205" spans="1:24" ht="33.75">
      <c r="A205" s="5" t="s">
        <v>2222</v>
      </c>
      <c r="B205" s="5" t="s">
        <v>2223</v>
      </c>
      <c r="C205" s="6" t="s">
        <v>2224</v>
      </c>
      <c r="D205" s="6"/>
      <c r="E205" s="6"/>
      <c r="F205" s="5" t="s">
        <v>3588</v>
      </c>
      <c r="G205" s="5"/>
      <c r="H205" s="6" t="s">
        <v>3889</v>
      </c>
      <c r="I205" s="5">
        <v>3869</v>
      </c>
      <c r="J205" s="5">
        <v>12693</v>
      </c>
      <c r="K205" s="7" t="str">
        <f>HYPERLINK("http://www.centcols.org/util/geo/visuGen.php?code=US-CO-3869a","US-CO-3869a")</f>
        <v>US-CO-3869a</v>
      </c>
      <c r="L205" s="8" t="s">
        <v>682</v>
      </c>
      <c r="M205" s="8" t="s">
        <v>3222</v>
      </c>
      <c r="N205" s="8">
        <v>15</v>
      </c>
      <c r="O205" s="8">
        <v>99</v>
      </c>
      <c r="P205" s="8" t="s">
        <v>3338</v>
      </c>
      <c r="Q205" s="5">
        <v>-105.742249</v>
      </c>
      <c r="R205" s="5">
        <v>38.2115312</v>
      </c>
      <c r="S205" s="5" t="s">
        <v>2225</v>
      </c>
      <c r="T205" s="5" t="s">
        <v>2226</v>
      </c>
      <c r="U205" s="9" t="s">
        <v>645</v>
      </c>
      <c r="V205" s="8" t="s">
        <v>439</v>
      </c>
      <c r="W205" s="8" t="s">
        <v>2966</v>
      </c>
      <c r="X205" s="8" t="s">
        <v>3638</v>
      </c>
    </row>
    <row r="206" spans="1:24" ht="33.75">
      <c r="A206" s="5" t="s">
        <v>2227</v>
      </c>
      <c r="B206" s="5" t="s">
        <v>2228</v>
      </c>
      <c r="C206" s="6" t="s">
        <v>2229</v>
      </c>
      <c r="D206" s="6"/>
      <c r="E206" s="6"/>
      <c r="F206" s="5" t="s">
        <v>3588</v>
      </c>
      <c r="G206" s="5"/>
      <c r="H206" s="6" t="s">
        <v>520</v>
      </c>
      <c r="I206" s="5">
        <v>3872</v>
      </c>
      <c r="J206" s="5">
        <v>12703</v>
      </c>
      <c r="K206" s="7" t="str">
        <f>HYPERLINK("http://www.centcols.org/util/geo/visuGen.php?code=US-CO-3872","US-CO-3872")</f>
        <v>US-CO-3872</v>
      </c>
      <c r="L206" s="8" t="s">
        <v>598</v>
      </c>
      <c r="M206" s="8" t="s">
        <v>2988</v>
      </c>
      <c r="N206" s="8">
        <v>10</v>
      </c>
      <c r="O206" s="8">
        <v>35</v>
      </c>
      <c r="P206" s="8"/>
      <c r="Q206" s="5">
        <v>-107.626929</v>
      </c>
      <c r="R206" s="5">
        <v>37.9200709</v>
      </c>
      <c r="S206" s="5" t="s">
        <v>2230</v>
      </c>
      <c r="T206" s="5" t="s">
        <v>2231</v>
      </c>
      <c r="U206" s="9" t="s">
        <v>2232</v>
      </c>
      <c r="V206" s="8"/>
      <c r="W206" s="8" t="s">
        <v>2966</v>
      </c>
      <c r="X206" s="8" t="s">
        <v>3696</v>
      </c>
    </row>
    <row r="207" spans="1:24" ht="22.5">
      <c r="A207" s="5" t="s">
        <v>2233</v>
      </c>
      <c r="B207" s="5" t="s">
        <v>2234</v>
      </c>
      <c r="C207" s="6" t="s">
        <v>2235</v>
      </c>
      <c r="D207" s="6"/>
      <c r="E207" s="6"/>
      <c r="F207" s="5" t="s">
        <v>3588</v>
      </c>
      <c r="G207" s="5"/>
      <c r="H207" s="6" t="s">
        <v>2236</v>
      </c>
      <c r="I207" s="5">
        <v>3874</v>
      </c>
      <c r="J207" s="5">
        <v>12710</v>
      </c>
      <c r="K207" s="7" t="str">
        <f>HYPERLINK("http://www.centcols.org/util/geo/visuGen.php?code=US-CO-3874","US-CO-3874")</f>
        <v>US-CO-3874</v>
      </c>
      <c r="L207" s="8" t="s">
        <v>2237</v>
      </c>
      <c r="M207" s="8" t="s">
        <v>3222</v>
      </c>
      <c r="N207" s="8">
        <v>15</v>
      </c>
      <c r="O207" s="8">
        <v>99</v>
      </c>
      <c r="P207" s="8" t="s">
        <v>3338</v>
      </c>
      <c r="Q207" s="5">
        <v>-107.6226393</v>
      </c>
      <c r="R207" s="5">
        <v>37.6335206</v>
      </c>
      <c r="S207" s="5" t="s">
        <v>2238</v>
      </c>
      <c r="T207" s="5" t="s">
        <v>2239</v>
      </c>
      <c r="U207" s="9" t="s">
        <v>452</v>
      </c>
      <c r="V207" s="8" t="s">
        <v>593</v>
      </c>
      <c r="W207" s="8" t="s">
        <v>2966</v>
      </c>
      <c r="X207" s="8" t="s">
        <v>3638</v>
      </c>
    </row>
    <row r="208" spans="1:24" ht="22.5">
      <c r="A208" s="5" t="s">
        <v>2240</v>
      </c>
      <c r="B208" s="5" t="s">
        <v>2241</v>
      </c>
      <c r="C208" s="6" t="s">
        <v>603</v>
      </c>
      <c r="D208" s="6"/>
      <c r="E208" s="6"/>
      <c r="F208" s="5" t="s">
        <v>3588</v>
      </c>
      <c r="G208" s="5"/>
      <c r="H208" s="6" t="s">
        <v>2242</v>
      </c>
      <c r="I208" s="5">
        <v>3876</v>
      </c>
      <c r="J208" s="5">
        <v>12716</v>
      </c>
      <c r="K208" s="7" t="str">
        <f>HYPERLINK("http://www.centcols.org/util/geo/visuGen.php?code=US-CO-3876a","US-CO-3876a")</f>
        <v>US-CO-3876a</v>
      </c>
      <c r="L208" s="8" t="s">
        <v>604</v>
      </c>
      <c r="M208" s="8" t="s">
        <v>3222</v>
      </c>
      <c r="N208" s="8">
        <v>15</v>
      </c>
      <c r="O208" s="8">
        <v>99</v>
      </c>
      <c r="P208" s="8" t="s">
        <v>3338</v>
      </c>
      <c r="Q208" s="5">
        <v>-107.48644</v>
      </c>
      <c r="R208" s="5">
        <v>37.70157</v>
      </c>
      <c r="S208" s="5" t="s">
        <v>2243</v>
      </c>
      <c r="T208" s="5" t="s">
        <v>2244</v>
      </c>
      <c r="U208" s="9" t="s">
        <v>3904</v>
      </c>
      <c r="V208" s="8" t="s">
        <v>593</v>
      </c>
      <c r="W208" s="8" t="s">
        <v>2966</v>
      </c>
      <c r="X208" s="8" t="s">
        <v>3696</v>
      </c>
    </row>
    <row r="209" spans="1:24" ht="22.5">
      <c r="A209" s="5" t="s">
        <v>2245</v>
      </c>
      <c r="B209" s="5" t="s">
        <v>2246</v>
      </c>
      <c r="C209" s="6" t="s">
        <v>2247</v>
      </c>
      <c r="D209" s="6"/>
      <c r="E209" s="6"/>
      <c r="F209" s="5" t="s">
        <v>3588</v>
      </c>
      <c r="G209" s="5"/>
      <c r="H209" s="6" t="s">
        <v>3889</v>
      </c>
      <c r="I209" s="5">
        <v>3883</v>
      </c>
      <c r="J209" s="5">
        <v>12739</v>
      </c>
      <c r="K209" s="7" t="str">
        <f>HYPERLINK("http://www.centcols.org/util/geo/visuGen.php?code=US-CO-3883a","US-CO-3883a")</f>
        <v>US-CO-3883a</v>
      </c>
      <c r="L209" s="8" t="s">
        <v>2248</v>
      </c>
      <c r="M209" s="8" t="s">
        <v>3222</v>
      </c>
      <c r="N209" s="8">
        <v>15</v>
      </c>
      <c r="O209" s="8">
        <v>99</v>
      </c>
      <c r="P209" s="8" t="s">
        <v>3338</v>
      </c>
      <c r="Q209" s="5">
        <v>-105.6177095</v>
      </c>
      <c r="R209" s="5">
        <v>38.046301</v>
      </c>
      <c r="S209" s="5" t="s">
        <v>2249</v>
      </c>
      <c r="T209" s="5" t="s">
        <v>2250</v>
      </c>
      <c r="U209" s="9" t="s">
        <v>3904</v>
      </c>
      <c r="V209" s="8" t="s">
        <v>439</v>
      </c>
      <c r="W209" s="8" t="s">
        <v>2966</v>
      </c>
      <c r="X209" s="8" t="s">
        <v>3696</v>
      </c>
    </row>
    <row r="210" spans="1:24" ht="22.5">
      <c r="A210" s="5" t="s">
        <v>2251</v>
      </c>
      <c r="B210" s="5" t="s">
        <v>2252</v>
      </c>
      <c r="C210" s="6" t="s">
        <v>2253</v>
      </c>
      <c r="D210" s="6"/>
      <c r="E210" s="6"/>
      <c r="F210" s="5" t="s">
        <v>3588</v>
      </c>
      <c r="G210" s="5"/>
      <c r="H210" s="6" t="s">
        <v>520</v>
      </c>
      <c r="I210" s="5">
        <v>3888</v>
      </c>
      <c r="J210" s="5">
        <v>12756</v>
      </c>
      <c r="K210" s="7" t="str">
        <f>HYPERLINK("http://www.centcols.org/util/geo/visuGen.php?code=US-CO-3888","US-CO-3888")</f>
        <v>US-CO-3888</v>
      </c>
      <c r="L210" s="8" t="s">
        <v>589</v>
      </c>
      <c r="M210" s="8" t="s">
        <v>471</v>
      </c>
      <c r="N210" s="8">
        <v>15</v>
      </c>
      <c r="O210" s="8">
        <v>99</v>
      </c>
      <c r="P210" s="8"/>
      <c r="Q210" s="5">
        <v>-107.5191293</v>
      </c>
      <c r="R210" s="5">
        <v>37.8255509</v>
      </c>
      <c r="S210" s="5" t="s">
        <v>2254</v>
      </c>
      <c r="T210" s="5" t="s">
        <v>2255</v>
      </c>
      <c r="U210" s="9" t="s">
        <v>3940</v>
      </c>
      <c r="V210" s="8"/>
      <c r="W210" s="8" t="s">
        <v>2966</v>
      </c>
      <c r="X210" s="8" t="s">
        <v>3696</v>
      </c>
    </row>
    <row r="211" spans="1:24" ht="33.75">
      <c r="A211" s="5" t="s">
        <v>2256</v>
      </c>
      <c r="B211" s="5" t="s">
        <v>2257</v>
      </c>
      <c r="C211" s="6" t="s">
        <v>2258</v>
      </c>
      <c r="D211" s="6"/>
      <c r="E211" s="6"/>
      <c r="F211" s="5" t="s">
        <v>3588</v>
      </c>
      <c r="G211" s="5"/>
      <c r="H211" s="6" t="s">
        <v>2259</v>
      </c>
      <c r="I211" s="5">
        <v>3890</v>
      </c>
      <c r="J211" s="5">
        <v>12762</v>
      </c>
      <c r="K211" s="7" t="str">
        <f>HYPERLINK("http://www.centcols.org/util/geo/visuGen.php?code=US-CO-3890","US-CO-3890")</f>
        <v>US-CO-3890</v>
      </c>
      <c r="L211" s="8" t="s">
        <v>2260</v>
      </c>
      <c r="M211" s="8" t="s">
        <v>2962</v>
      </c>
      <c r="N211" s="8">
        <v>20</v>
      </c>
      <c r="O211" s="8">
        <v>99</v>
      </c>
      <c r="P211" s="8" t="s">
        <v>3338</v>
      </c>
      <c r="Q211" s="5">
        <v>-106.3243995</v>
      </c>
      <c r="R211" s="5">
        <v>38.9028311</v>
      </c>
      <c r="S211" s="5" t="s">
        <v>2261</v>
      </c>
      <c r="T211" s="5" t="s">
        <v>2262</v>
      </c>
      <c r="U211" s="9" t="s">
        <v>3777</v>
      </c>
      <c r="V211" s="8" t="s">
        <v>540</v>
      </c>
      <c r="W211" s="8" t="s">
        <v>2966</v>
      </c>
      <c r="X211" s="8" t="s">
        <v>3696</v>
      </c>
    </row>
    <row r="212" spans="1:24" ht="33.75">
      <c r="A212" s="5" t="s">
        <v>2263</v>
      </c>
      <c r="B212" s="5" t="s">
        <v>2264</v>
      </c>
      <c r="C212" s="6" t="s">
        <v>2265</v>
      </c>
      <c r="D212" s="6"/>
      <c r="E212" s="6"/>
      <c r="F212" s="5" t="s">
        <v>3588</v>
      </c>
      <c r="G212" s="5"/>
      <c r="H212" s="6" t="s">
        <v>2242</v>
      </c>
      <c r="I212" s="5">
        <v>3903</v>
      </c>
      <c r="J212" s="5">
        <v>12805</v>
      </c>
      <c r="K212" s="7" t="str">
        <f>HYPERLINK("http://www.centcols.org/util/geo/visuGen.php?code=US-CO-3903a","US-CO-3903a")</f>
        <v>US-CO-3903a</v>
      </c>
      <c r="L212" s="8" t="s">
        <v>2237</v>
      </c>
      <c r="M212" s="8" t="s">
        <v>3222</v>
      </c>
      <c r="N212" s="8">
        <v>15</v>
      </c>
      <c r="O212" s="8">
        <v>99</v>
      </c>
      <c r="P212" s="8" t="s">
        <v>3338</v>
      </c>
      <c r="Q212" s="5">
        <v>-107.5619387</v>
      </c>
      <c r="R212" s="5">
        <v>37.6730608</v>
      </c>
      <c r="S212" s="5" t="s">
        <v>2266</v>
      </c>
      <c r="T212" s="5" t="s">
        <v>2267</v>
      </c>
      <c r="U212" s="9" t="s">
        <v>2268</v>
      </c>
      <c r="V212" s="8" t="s">
        <v>593</v>
      </c>
      <c r="W212" s="8" t="s">
        <v>2966</v>
      </c>
      <c r="X212" s="8" t="s">
        <v>698</v>
      </c>
    </row>
    <row r="213" spans="1:24" ht="22.5">
      <c r="A213" s="5" t="s">
        <v>2269</v>
      </c>
      <c r="B213" s="5" t="s">
        <v>2270</v>
      </c>
      <c r="C213" s="6" t="s">
        <v>2271</v>
      </c>
      <c r="D213" s="6"/>
      <c r="E213" s="6"/>
      <c r="F213" s="5" t="s">
        <v>3588</v>
      </c>
      <c r="G213" s="5"/>
      <c r="H213" s="6" t="s">
        <v>564</v>
      </c>
      <c r="I213" s="5">
        <v>3904</v>
      </c>
      <c r="J213" s="5">
        <v>12808</v>
      </c>
      <c r="K213" s="7" t="str">
        <f>HYPERLINK("http://www.centcols.org/util/geo/visuGen.php?code=US-CO-3904","US-CO-3904")</f>
        <v>US-CO-3904</v>
      </c>
      <c r="L213" s="8" t="s">
        <v>2272</v>
      </c>
      <c r="M213" s="8" t="s">
        <v>3222</v>
      </c>
      <c r="N213" s="8">
        <v>15</v>
      </c>
      <c r="O213" s="8">
        <v>99</v>
      </c>
      <c r="P213" s="8" t="s">
        <v>3338</v>
      </c>
      <c r="Q213" s="5">
        <v>-106.5671371</v>
      </c>
      <c r="R213" s="5">
        <v>39.1486206</v>
      </c>
      <c r="S213" s="5" t="s">
        <v>2273</v>
      </c>
      <c r="T213" s="5" t="s">
        <v>2274</v>
      </c>
      <c r="U213" s="9" t="s">
        <v>568</v>
      </c>
      <c r="V213" s="8" t="s">
        <v>2275</v>
      </c>
      <c r="W213" s="8" t="s">
        <v>2966</v>
      </c>
      <c r="X213" s="8" t="s">
        <v>3696</v>
      </c>
    </row>
    <row r="214" spans="1:24" ht="22.5">
      <c r="A214" s="5" t="s">
        <v>2276</v>
      </c>
      <c r="B214" s="5" t="s">
        <v>2277</v>
      </c>
      <c r="C214" s="6" t="s">
        <v>2278</v>
      </c>
      <c r="D214" s="6"/>
      <c r="E214" s="6"/>
      <c r="F214" s="5" t="s">
        <v>3588</v>
      </c>
      <c r="G214" s="5"/>
      <c r="H214" s="6" t="s">
        <v>3964</v>
      </c>
      <c r="I214" s="5">
        <v>3910</v>
      </c>
      <c r="J214" s="5">
        <v>12828</v>
      </c>
      <c r="K214" s="7" t="str">
        <f>HYPERLINK("http://www.centcols.org/util/geo/visuGen.php?code=US-CO-3910","US-CO-3910")</f>
        <v>US-CO-3910</v>
      </c>
      <c r="L214" s="8" t="s">
        <v>2279</v>
      </c>
      <c r="M214" s="8" t="s">
        <v>3222</v>
      </c>
      <c r="N214" s="8">
        <v>15</v>
      </c>
      <c r="O214" s="8">
        <v>99</v>
      </c>
      <c r="P214" s="8" t="s">
        <v>3338</v>
      </c>
      <c r="Q214" s="5">
        <v>-106.1308292</v>
      </c>
      <c r="R214" s="5">
        <v>38.9947208</v>
      </c>
      <c r="S214" s="5" t="s">
        <v>2280</v>
      </c>
      <c r="T214" s="5" t="s">
        <v>2281</v>
      </c>
      <c r="U214" s="9" t="s">
        <v>2282</v>
      </c>
      <c r="V214" s="8" t="s">
        <v>2283</v>
      </c>
      <c r="W214" s="8" t="s">
        <v>2966</v>
      </c>
      <c r="X214" s="8" t="s">
        <v>3696</v>
      </c>
    </row>
    <row r="215" spans="1:24" ht="11.25">
      <c r="A215" s="5" t="s">
        <v>2284</v>
      </c>
      <c r="B215" s="5" t="s">
        <v>2285</v>
      </c>
      <c r="C215" s="6" t="s">
        <v>2286</v>
      </c>
      <c r="D215" s="6"/>
      <c r="E215" s="6"/>
      <c r="F215" s="5" t="s">
        <v>3588</v>
      </c>
      <c r="G215" s="5"/>
      <c r="H215" s="6" t="s">
        <v>3742</v>
      </c>
      <c r="I215" s="5">
        <v>3912</v>
      </c>
      <c r="J215" s="5">
        <v>12834</v>
      </c>
      <c r="K215" s="7" t="str">
        <f>HYPERLINK("http://www.centcols.org/util/geo/visuGen.php?code=US-CO-3912","US-CO-3912")</f>
        <v>US-CO-3912</v>
      </c>
      <c r="L215" s="8" t="s">
        <v>443</v>
      </c>
      <c r="M215" s="8" t="s">
        <v>471</v>
      </c>
      <c r="N215" s="8">
        <v>15</v>
      </c>
      <c r="O215" s="8">
        <v>99</v>
      </c>
      <c r="P215" s="8" t="s">
        <v>3338</v>
      </c>
      <c r="Q215" s="5">
        <v>-106.422975</v>
      </c>
      <c r="R215" s="5">
        <v>39.3635217</v>
      </c>
      <c r="S215" s="5" t="s">
        <v>2287</v>
      </c>
      <c r="T215" s="5" t="s">
        <v>2288</v>
      </c>
      <c r="U215" s="8" t="s">
        <v>3847</v>
      </c>
      <c r="V215" s="8" t="s">
        <v>619</v>
      </c>
      <c r="W215" s="8" t="s">
        <v>2966</v>
      </c>
      <c r="X215" s="8" t="s">
        <v>3696</v>
      </c>
    </row>
    <row r="216" spans="1:24" ht="33.75">
      <c r="A216" s="5" t="s">
        <v>2289</v>
      </c>
      <c r="B216" s="5" t="s">
        <v>2290</v>
      </c>
      <c r="C216" s="6" t="s">
        <v>2291</v>
      </c>
      <c r="D216" s="6"/>
      <c r="E216" s="6"/>
      <c r="F216" s="5" t="s">
        <v>3588</v>
      </c>
      <c r="G216" s="5"/>
      <c r="H216" s="6" t="s">
        <v>520</v>
      </c>
      <c r="I216" s="5">
        <v>3919</v>
      </c>
      <c r="J216" s="5">
        <v>12857</v>
      </c>
      <c r="K216" s="7" t="str">
        <f>HYPERLINK("http://www.centcols.org/util/geo/visuGen.php?code=US-CO-3919","US-CO-3919")</f>
        <v>US-CO-3919</v>
      </c>
      <c r="L216" s="8" t="s">
        <v>2237</v>
      </c>
      <c r="M216" s="8" t="s">
        <v>2962</v>
      </c>
      <c r="N216" s="8">
        <v>20</v>
      </c>
      <c r="O216" s="8">
        <v>99</v>
      </c>
      <c r="P216" s="8" t="s">
        <v>3338</v>
      </c>
      <c r="Q216" s="5">
        <v>-107.592629</v>
      </c>
      <c r="R216" s="5">
        <v>37.6402406</v>
      </c>
      <c r="S216" s="5" t="s">
        <v>2292</v>
      </c>
      <c r="T216" s="5" t="s">
        <v>2293</v>
      </c>
      <c r="U216" s="9" t="s">
        <v>645</v>
      </c>
      <c r="V216" s="8" t="s">
        <v>593</v>
      </c>
      <c r="W216" s="8" t="s">
        <v>2966</v>
      </c>
      <c r="X216" s="8" t="s">
        <v>3638</v>
      </c>
    </row>
    <row r="217" spans="1:24" ht="22.5">
      <c r="A217" s="5" t="s">
        <v>2294</v>
      </c>
      <c r="B217" s="5" t="s">
        <v>2295</v>
      </c>
      <c r="C217" s="6" t="s">
        <v>2296</v>
      </c>
      <c r="D217" s="6"/>
      <c r="E217" s="6"/>
      <c r="F217" s="5" t="s">
        <v>3588</v>
      </c>
      <c r="G217" s="5"/>
      <c r="H217" s="6" t="s">
        <v>3485</v>
      </c>
      <c r="I217" s="5">
        <v>3921</v>
      </c>
      <c r="J217" s="5">
        <v>12864</v>
      </c>
      <c r="K217" s="7" t="str">
        <f>HYPERLINK("http://www.centcols.org/util/geo/visuGen.php?code=US-CO-3921a","US-CO-3921a")</f>
        <v>US-CO-3921a</v>
      </c>
      <c r="L217" s="8" t="s">
        <v>2297</v>
      </c>
      <c r="M217" s="8" t="s">
        <v>3222</v>
      </c>
      <c r="N217" s="8">
        <v>15</v>
      </c>
      <c r="O217" s="8">
        <v>99</v>
      </c>
      <c r="P217" s="8"/>
      <c r="Q217" s="5">
        <v>-106.4844392</v>
      </c>
      <c r="R217" s="5">
        <v>39.1083309</v>
      </c>
      <c r="S217" s="5" t="s">
        <v>2298</v>
      </c>
      <c r="T217" s="5" t="s">
        <v>2299</v>
      </c>
      <c r="U217" s="9" t="s">
        <v>3904</v>
      </c>
      <c r="V217" s="8"/>
      <c r="W217" s="8" t="s">
        <v>2966</v>
      </c>
      <c r="X217" s="8" t="s">
        <v>3696</v>
      </c>
    </row>
    <row r="218" spans="1:24" ht="33.75">
      <c r="A218" s="5" t="s">
        <v>2300</v>
      </c>
      <c r="B218" s="5" t="s">
        <v>2301</v>
      </c>
      <c r="C218" s="6" t="s">
        <v>2302</v>
      </c>
      <c r="D218" s="6"/>
      <c r="E218" s="6"/>
      <c r="F218" s="5" t="s">
        <v>3588</v>
      </c>
      <c r="G218" s="5"/>
      <c r="H218" s="6" t="s">
        <v>520</v>
      </c>
      <c r="I218" s="5">
        <v>3928</v>
      </c>
      <c r="J218" s="5">
        <v>12887</v>
      </c>
      <c r="K218" s="7" t="str">
        <f>HYPERLINK("http://www.centcols.org/util/geo/visuGen.php?code=US-CO-3928","US-CO-3928")</f>
        <v>US-CO-3928</v>
      </c>
      <c r="L218" s="8" t="s">
        <v>521</v>
      </c>
      <c r="M218" s="8" t="s">
        <v>3113</v>
      </c>
      <c r="N218" s="8">
        <v>10</v>
      </c>
      <c r="O218" s="8">
        <v>35</v>
      </c>
      <c r="P218" s="8"/>
      <c r="Q218" s="5">
        <v>-107.6177193</v>
      </c>
      <c r="R218" s="5">
        <v>37.9176308</v>
      </c>
      <c r="S218" s="5" t="s">
        <v>2303</v>
      </c>
      <c r="T218" s="5" t="s">
        <v>2304</v>
      </c>
      <c r="U218" s="9" t="s">
        <v>2305</v>
      </c>
      <c r="V218" s="8"/>
      <c r="W218" s="8" t="s">
        <v>2966</v>
      </c>
      <c r="X218" s="8" t="s">
        <v>3696</v>
      </c>
    </row>
    <row r="219" spans="1:24" ht="33.75">
      <c r="A219" s="5" t="s">
        <v>2306</v>
      </c>
      <c r="B219" s="5" t="s">
        <v>2307</v>
      </c>
      <c r="C219" s="6" t="s">
        <v>2308</v>
      </c>
      <c r="D219" s="6"/>
      <c r="E219" s="6"/>
      <c r="F219" s="5" t="s">
        <v>3588</v>
      </c>
      <c r="G219" s="5"/>
      <c r="H219" s="6" t="s">
        <v>597</v>
      </c>
      <c r="I219" s="5">
        <v>3970</v>
      </c>
      <c r="J219" s="5">
        <v>13025</v>
      </c>
      <c r="K219" s="7" t="str">
        <f>HYPERLINK("http://www.centcols.org/util/geo/visuGen.php?code=US-CO-3970","US-CO-3970")</f>
        <v>US-CO-3970</v>
      </c>
      <c r="L219" s="8" t="s">
        <v>2309</v>
      </c>
      <c r="M219" s="8" t="s">
        <v>2962</v>
      </c>
      <c r="N219" s="8">
        <v>20</v>
      </c>
      <c r="O219" s="8">
        <v>99</v>
      </c>
      <c r="P219" s="8"/>
      <c r="Q219" s="5">
        <v>-107.7806392</v>
      </c>
      <c r="R219" s="5">
        <v>38.0007806</v>
      </c>
      <c r="S219" s="5" t="s">
        <v>2310</v>
      </c>
      <c r="T219" s="5" t="s">
        <v>2311</v>
      </c>
      <c r="U219" s="9" t="s">
        <v>645</v>
      </c>
      <c r="V219" s="8"/>
      <c r="W219" s="8" t="s">
        <v>2966</v>
      </c>
      <c r="X219" s="8" t="s">
        <v>3638</v>
      </c>
    </row>
    <row r="220" spans="1:24" ht="33.75">
      <c r="A220" s="5" t="s">
        <v>2312</v>
      </c>
      <c r="B220" s="5" t="s">
        <v>2313</v>
      </c>
      <c r="C220" s="6" t="s">
        <v>2314</v>
      </c>
      <c r="D220" s="6"/>
      <c r="E220" s="6"/>
      <c r="F220" s="5" t="s">
        <v>3588</v>
      </c>
      <c r="G220" s="5"/>
      <c r="H220" s="6" t="s">
        <v>2236</v>
      </c>
      <c r="I220" s="5">
        <v>3984</v>
      </c>
      <c r="J220" s="5">
        <v>13071</v>
      </c>
      <c r="K220" s="7" t="str">
        <f>HYPERLINK("http://www.centcols.org/util/geo/visuGen.php?code=US-CO-3984","US-CO-3984")</f>
        <v>US-CO-3984</v>
      </c>
      <c r="L220" s="8" t="s">
        <v>2315</v>
      </c>
      <c r="M220" s="8" t="s">
        <v>2962</v>
      </c>
      <c r="N220" s="8">
        <v>20</v>
      </c>
      <c r="O220" s="8">
        <v>99</v>
      </c>
      <c r="P220" s="8" t="s">
        <v>3338</v>
      </c>
      <c r="Q220" s="5">
        <v>-107.6099461</v>
      </c>
      <c r="R220" s="5">
        <v>37.6270711</v>
      </c>
      <c r="S220" s="5" t="s">
        <v>2316</v>
      </c>
      <c r="T220" s="5" t="s">
        <v>2317</v>
      </c>
      <c r="U220" s="9" t="s">
        <v>3777</v>
      </c>
      <c r="V220" s="8" t="s">
        <v>593</v>
      </c>
      <c r="W220" s="8" t="s">
        <v>2966</v>
      </c>
      <c r="X220" s="8" t="s">
        <v>3696</v>
      </c>
    </row>
    <row r="221" spans="1:24" ht="22.5">
      <c r="A221" s="5" t="s">
        <v>2318</v>
      </c>
      <c r="B221" s="5" t="s">
        <v>2319</v>
      </c>
      <c r="C221" s="6" t="s">
        <v>2320</v>
      </c>
      <c r="D221" s="6"/>
      <c r="E221" s="6"/>
      <c r="F221" s="5" t="s">
        <v>3588</v>
      </c>
      <c r="G221" s="5"/>
      <c r="H221" s="6" t="s">
        <v>3908</v>
      </c>
      <c r="I221" s="5">
        <v>3987</v>
      </c>
      <c r="J221" s="5">
        <v>13081</v>
      </c>
      <c r="K221" s="7" t="str">
        <f>HYPERLINK("http://www.centcols.org/util/geo/visuGen.php?code=US-CO-3987","US-CO-3987")</f>
        <v>US-CO-3987</v>
      </c>
      <c r="L221" s="8" t="s">
        <v>604</v>
      </c>
      <c r="M221" s="8" t="s">
        <v>3222</v>
      </c>
      <c r="N221" s="8">
        <v>15</v>
      </c>
      <c r="O221" s="8">
        <v>99</v>
      </c>
      <c r="P221" s="8" t="s">
        <v>3338</v>
      </c>
      <c r="Q221" s="5">
        <v>-107.77179</v>
      </c>
      <c r="R221" s="5">
        <v>37.9618289</v>
      </c>
      <c r="S221" s="5" t="s">
        <v>2321</v>
      </c>
      <c r="T221" s="5" t="s">
        <v>2322</v>
      </c>
      <c r="U221" s="9" t="s">
        <v>3904</v>
      </c>
      <c r="V221" s="8" t="s">
        <v>593</v>
      </c>
      <c r="W221" s="8" t="s">
        <v>2966</v>
      </c>
      <c r="X221" s="8" t="s">
        <v>3696</v>
      </c>
    </row>
    <row r="222" spans="1:24" ht="11.25">
      <c r="A222" s="5" t="s">
        <v>2323</v>
      </c>
      <c r="B222" s="5" t="s">
        <v>2324</v>
      </c>
      <c r="C222" s="6" t="s">
        <v>3572</v>
      </c>
      <c r="D222" s="6"/>
      <c r="E222" s="6"/>
      <c r="F222" s="5" t="s">
        <v>3588</v>
      </c>
      <c r="G222" s="5"/>
      <c r="H222" s="6" t="s">
        <v>3749</v>
      </c>
      <c r="I222" s="5">
        <v>4009</v>
      </c>
      <c r="J222" s="5">
        <v>13153</v>
      </c>
      <c r="K222" s="7" t="str">
        <f>HYPERLINK("http://www.centcols.org/util/geo/visuGen.php?code=US-CO-4009","US-CO-4009")</f>
        <v>US-CO-4009</v>
      </c>
      <c r="L222" s="8" t="s">
        <v>3811</v>
      </c>
      <c r="M222" s="8" t="s">
        <v>3222</v>
      </c>
      <c r="N222" s="8">
        <v>15</v>
      </c>
      <c r="O222" s="8">
        <v>99</v>
      </c>
      <c r="P222" s="8" t="s">
        <v>3338</v>
      </c>
      <c r="Q222" s="5">
        <v>-105.6211489</v>
      </c>
      <c r="R222" s="5">
        <v>40.2608807</v>
      </c>
      <c r="S222" s="5" t="s">
        <v>2325</v>
      </c>
      <c r="T222" s="5" t="s">
        <v>2326</v>
      </c>
      <c r="U222" s="8"/>
      <c r="V222" s="8" t="s">
        <v>3815</v>
      </c>
      <c r="W222" s="8" t="s">
        <v>2966</v>
      </c>
      <c r="X222" s="8" t="s">
        <v>2967</v>
      </c>
    </row>
    <row r="223" spans="1:24" ht="22.5">
      <c r="A223" s="5" t="s">
        <v>2327</v>
      </c>
      <c r="B223" s="5" t="s">
        <v>2328</v>
      </c>
      <c r="C223" s="6" t="s">
        <v>2329</v>
      </c>
      <c r="D223" s="6"/>
      <c r="E223" s="6"/>
      <c r="F223" s="5" t="s">
        <v>3588</v>
      </c>
      <c r="G223" s="5"/>
      <c r="H223" s="6" t="s">
        <v>3485</v>
      </c>
      <c r="I223" s="5">
        <v>4014</v>
      </c>
      <c r="J223" s="5">
        <v>13169</v>
      </c>
      <c r="K223" s="7" t="str">
        <f>HYPERLINK("http://www.centcols.org/util/geo/visuGen.php?code=US-CO-4014","US-CO-4014")</f>
        <v>US-CO-4014</v>
      </c>
      <c r="L223" s="8" t="s">
        <v>2330</v>
      </c>
      <c r="M223" s="8" t="s">
        <v>3113</v>
      </c>
      <c r="N223" s="8">
        <v>10</v>
      </c>
      <c r="O223" s="8">
        <v>35</v>
      </c>
      <c r="P223" s="8"/>
      <c r="Q223" s="5">
        <v>-106.1792489</v>
      </c>
      <c r="R223" s="5">
        <v>39.1957911</v>
      </c>
      <c r="S223" s="5" t="s">
        <v>2331</v>
      </c>
      <c r="T223" s="5" t="s">
        <v>2332</v>
      </c>
      <c r="U223" s="9" t="s">
        <v>2333</v>
      </c>
      <c r="V223" s="8"/>
      <c r="W223" s="8" t="s">
        <v>2966</v>
      </c>
      <c r="X223" s="8" t="s">
        <v>3696</v>
      </c>
    </row>
    <row r="224" spans="1:24" ht="33.75">
      <c r="A224" s="5" t="s">
        <v>2334</v>
      </c>
      <c r="B224" s="5" t="s">
        <v>2335</v>
      </c>
      <c r="C224" s="6" t="s">
        <v>2336</v>
      </c>
      <c r="D224" s="6"/>
      <c r="E224" s="6"/>
      <c r="F224" s="5" t="s">
        <v>3588</v>
      </c>
      <c r="G224" s="5"/>
      <c r="H224" s="6" t="s">
        <v>4030</v>
      </c>
      <c r="I224" s="5">
        <v>4021</v>
      </c>
      <c r="J224" s="5">
        <v>13192</v>
      </c>
      <c r="K224" s="7" t="str">
        <f>HYPERLINK("http://www.centcols.org/util/geo/visuGen.php?code=US-CO-4021","US-CO-4021")</f>
        <v>US-CO-4021</v>
      </c>
      <c r="L224" s="8" t="s">
        <v>2337</v>
      </c>
      <c r="M224" s="9" t="s">
        <v>2338</v>
      </c>
      <c r="N224" s="8">
        <v>20</v>
      </c>
      <c r="O224" s="8">
        <v>99</v>
      </c>
      <c r="P224" s="8"/>
      <c r="Q224" s="5">
        <v>-105.6330549</v>
      </c>
      <c r="R224" s="5">
        <v>39.5780566</v>
      </c>
      <c r="S224" s="5" t="s">
        <v>2339</v>
      </c>
      <c r="T224" s="5" t="s">
        <v>2340</v>
      </c>
      <c r="U224" s="9" t="s">
        <v>2341</v>
      </c>
      <c r="V224" s="8" t="s">
        <v>2342</v>
      </c>
      <c r="W224" s="8" t="s">
        <v>2966</v>
      </c>
      <c r="X224" s="8" t="s">
        <v>3696</v>
      </c>
    </row>
    <row r="225" spans="1:24" ht="22.5">
      <c r="A225" s="5" t="s">
        <v>2343</v>
      </c>
      <c r="B225" s="5" t="s">
        <v>2344</v>
      </c>
      <c r="C225" s="6" t="s">
        <v>2345</v>
      </c>
      <c r="D225" s="6"/>
      <c r="E225" s="6"/>
      <c r="F225" s="5" t="s">
        <v>3588</v>
      </c>
      <c r="G225" s="5"/>
      <c r="H225" s="6" t="s">
        <v>3633</v>
      </c>
      <c r="I225" s="5">
        <v>4113</v>
      </c>
      <c r="J225" s="5">
        <v>13494</v>
      </c>
      <c r="K225" s="7" t="str">
        <f>HYPERLINK("http://www.centcols.org/util/geo/visuGen.php?code=US-CO-4113","US-CO-4113")</f>
        <v>US-CO-4113</v>
      </c>
      <c r="L225" s="8" t="s">
        <v>513</v>
      </c>
      <c r="M225" s="8" t="s">
        <v>3222</v>
      </c>
      <c r="N225" s="8">
        <v>15</v>
      </c>
      <c r="O225" s="8">
        <v>99</v>
      </c>
      <c r="P225" s="8" t="s">
        <v>427</v>
      </c>
      <c r="Q225" s="5">
        <v>-105.1872193</v>
      </c>
      <c r="R225" s="5">
        <v>37.1175005</v>
      </c>
      <c r="S225" s="5" t="s">
        <v>2346</v>
      </c>
      <c r="T225" s="5" t="s">
        <v>2347</v>
      </c>
      <c r="U225" s="9" t="s">
        <v>2348</v>
      </c>
      <c r="V225" s="8" t="s">
        <v>2349</v>
      </c>
      <c r="W225" s="8" t="s">
        <v>2966</v>
      </c>
      <c r="X225" s="8" t="s">
        <v>3696</v>
      </c>
    </row>
    <row r="226" spans="1:24" ht="11.25">
      <c r="A226" s="5" t="s">
        <v>2350</v>
      </c>
      <c r="B226" s="5" t="s">
        <v>2351</v>
      </c>
      <c r="C226" s="6" t="s">
        <v>2352</v>
      </c>
      <c r="D226" s="6"/>
      <c r="E226" s="6"/>
      <c r="F226" s="5" t="s">
        <v>2353</v>
      </c>
      <c r="G226" s="5"/>
      <c r="H226" s="6" t="s">
        <v>2354</v>
      </c>
      <c r="I226" s="5">
        <v>200</v>
      </c>
      <c r="J226" s="5">
        <v>656</v>
      </c>
      <c r="K226" s="7" t="str">
        <f>HYPERLINK("http://www.centcols.org/util/geo/visuGen.php?code=US-CT-0200","US-CT-0200")</f>
        <v>US-CT-0200</v>
      </c>
      <c r="L226" s="8" t="s">
        <v>2355</v>
      </c>
      <c r="M226" s="8"/>
      <c r="N226" s="8">
        <v>15</v>
      </c>
      <c r="O226" s="8">
        <v>99</v>
      </c>
      <c r="P226" s="8"/>
      <c r="Q226" s="5">
        <v>-72.740278</v>
      </c>
      <c r="R226" s="5">
        <v>41.543611</v>
      </c>
      <c r="S226" s="5" t="s">
        <v>2356</v>
      </c>
      <c r="T226" s="5" t="s">
        <v>2357</v>
      </c>
      <c r="U226" s="8"/>
      <c r="V226" s="8"/>
      <c r="W226" s="8" t="s">
        <v>2966</v>
      </c>
      <c r="X226" s="8" t="s">
        <v>2358</v>
      </c>
    </row>
    <row r="227" spans="1:24" ht="11.25">
      <c r="A227" s="5" t="s">
        <v>2359</v>
      </c>
      <c r="B227" s="5" t="s">
        <v>2360</v>
      </c>
      <c r="C227" s="6" t="s">
        <v>2361</v>
      </c>
      <c r="D227" s="6"/>
      <c r="E227" s="6"/>
      <c r="F227" s="5" t="s">
        <v>2353</v>
      </c>
      <c r="G227" s="5" t="s">
        <v>2362</v>
      </c>
      <c r="H227" s="6" t="s">
        <v>2363</v>
      </c>
      <c r="I227" s="5">
        <v>236</v>
      </c>
      <c r="J227" s="5">
        <v>774</v>
      </c>
      <c r="K227" s="7" t="str">
        <f>HYPERLINK("http://www.centcols.org/util/geo/visuGen.php?code=US-CT-0236","US-CT-0236")</f>
        <v>US-CT-0236</v>
      </c>
      <c r="L227" s="8" t="s">
        <v>2364</v>
      </c>
      <c r="M227" s="8" t="s">
        <v>2365</v>
      </c>
      <c r="N227" s="8">
        <v>20</v>
      </c>
      <c r="O227" s="8">
        <v>99</v>
      </c>
      <c r="P227" s="8"/>
      <c r="Q227" s="5">
        <v>-73.5424991</v>
      </c>
      <c r="R227" s="5">
        <v>41.3997205</v>
      </c>
      <c r="S227" s="5" t="s">
        <v>2366</v>
      </c>
      <c r="T227" s="5" t="s">
        <v>2367</v>
      </c>
      <c r="U227" s="8"/>
      <c r="V227" s="8"/>
      <c r="W227" s="8" t="s">
        <v>2966</v>
      </c>
      <c r="X227" s="8" t="s">
        <v>2967</v>
      </c>
    </row>
    <row r="228" spans="1:24" ht="22.5">
      <c r="A228" s="5" t="s">
        <v>2368</v>
      </c>
      <c r="B228" s="5" t="s">
        <v>2369</v>
      </c>
      <c r="C228" s="6" t="s">
        <v>2370</v>
      </c>
      <c r="D228" s="6"/>
      <c r="E228" s="6"/>
      <c r="F228" s="5" t="s">
        <v>2371</v>
      </c>
      <c r="G228" s="5"/>
      <c r="H228" s="6" t="s">
        <v>2372</v>
      </c>
      <c r="I228" s="5">
        <v>95</v>
      </c>
      <c r="J228" s="5">
        <v>312</v>
      </c>
      <c r="K228" s="7" t="str">
        <f>HYPERLINK("http://www.centcols.org/util/geo/visuGen.php?code=US-GA-0095","US-GA-0095")</f>
        <v>US-GA-0095</v>
      </c>
      <c r="L228" s="8" t="s">
        <v>2373</v>
      </c>
      <c r="M228" s="9" t="s">
        <v>2374</v>
      </c>
      <c r="N228" s="8">
        <v>0</v>
      </c>
      <c r="O228" s="8">
        <v>0</v>
      </c>
      <c r="P228" s="8"/>
      <c r="Q228" s="5">
        <v>-82.4501269</v>
      </c>
      <c r="R228" s="5">
        <v>33.3404195</v>
      </c>
      <c r="S228" s="5" t="s">
        <v>2375</v>
      </c>
      <c r="T228" s="5" t="s">
        <v>2376</v>
      </c>
      <c r="U228" s="8"/>
      <c r="V228" s="9" t="s">
        <v>2377</v>
      </c>
      <c r="W228" s="8" t="s">
        <v>2966</v>
      </c>
      <c r="X228" s="8" t="s">
        <v>2378</v>
      </c>
    </row>
    <row r="229" spans="1:24" ht="11.25">
      <c r="A229" s="5" t="s">
        <v>2379</v>
      </c>
      <c r="B229" s="5" t="s">
        <v>2380</v>
      </c>
      <c r="C229" s="6" t="s">
        <v>2381</v>
      </c>
      <c r="D229" s="6"/>
      <c r="E229" s="6"/>
      <c r="F229" s="5" t="s">
        <v>2371</v>
      </c>
      <c r="G229" s="5"/>
      <c r="H229" s="6" t="s">
        <v>2382</v>
      </c>
      <c r="I229" s="5">
        <v>192</v>
      </c>
      <c r="J229" s="5">
        <v>630</v>
      </c>
      <c r="K229" s="7" t="str">
        <f>HYPERLINK("http://www.centcols.org/util/geo/visuGen.php?code=US-GA-0192","US-GA-0192")</f>
        <v>US-GA-0192</v>
      </c>
      <c r="L229" s="8" t="s">
        <v>2383</v>
      </c>
      <c r="M229" s="8" t="s">
        <v>2962</v>
      </c>
      <c r="N229" s="8">
        <v>20</v>
      </c>
      <c r="O229" s="8">
        <v>99</v>
      </c>
      <c r="P229" s="8"/>
      <c r="Q229" s="5">
        <v>-84.6013007</v>
      </c>
      <c r="R229" s="5">
        <v>32.7793508</v>
      </c>
      <c r="S229" s="5" t="s">
        <v>2384</v>
      </c>
      <c r="T229" s="5" t="s">
        <v>2385</v>
      </c>
      <c r="U229" s="8"/>
      <c r="V229" s="8"/>
      <c r="W229" s="8" t="s">
        <v>2966</v>
      </c>
      <c r="X229" s="8" t="s">
        <v>2386</v>
      </c>
    </row>
    <row r="230" spans="1:24" ht="11.25">
      <c r="A230" s="5" t="s">
        <v>2387</v>
      </c>
      <c r="B230" s="5" t="s">
        <v>2388</v>
      </c>
      <c r="C230" s="6" t="s">
        <v>2389</v>
      </c>
      <c r="D230" s="6"/>
      <c r="E230" s="6"/>
      <c r="F230" s="5" t="s">
        <v>2371</v>
      </c>
      <c r="G230" s="5"/>
      <c r="H230" s="6" t="s">
        <v>2390</v>
      </c>
      <c r="I230" s="5">
        <v>276</v>
      </c>
      <c r="J230" s="5">
        <v>906</v>
      </c>
      <c r="K230" s="7" t="str">
        <f>HYPERLINK("http://www.centcols.org/util/geo/visuGen.php?code=US-GA-0276","US-GA-0276")</f>
        <v>US-GA-0276</v>
      </c>
      <c r="L230" s="8" t="s">
        <v>2391</v>
      </c>
      <c r="M230" s="9" t="s">
        <v>2392</v>
      </c>
      <c r="N230" s="8">
        <v>0</v>
      </c>
      <c r="O230" s="8">
        <v>0</v>
      </c>
      <c r="P230" s="8"/>
      <c r="Q230" s="5">
        <v>-85.0013893</v>
      </c>
      <c r="R230" s="5">
        <v>34.8663905</v>
      </c>
      <c r="S230" s="5" t="s">
        <v>2393</v>
      </c>
      <c r="T230" s="5" t="s">
        <v>2394</v>
      </c>
      <c r="U230" s="8"/>
      <c r="V230" s="8"/>
      <c r="W230" s="8" t="s">
        <v>2966</v>
      </c>
      <c r="X230" s="8" t="s">
        <v>2991</v>
      </c>
    </row>
    <row r="231" spans="1:24" ht="11.25">
      <c r="A231" s="5" t="s">
        <v>2395</v>
      </c>
      <c r="B231" s="5" t="s">
        <v>2396</v>
      </c>
      <c r="C231" s="6" t="s">
        <v>2397</v>
      </c>
      <c r="D231" s="6"/>
      <c r="E231" s="6"/>
      <c r="F231" s="5" t="s">
        <v>2371</v>
      </c>
      <c r="G231" s="5"/>
      <c r="H231" s="6" t="s">
        <v>2390</v>
      </c>
      <c r="I231" s="5">
        <v>292</v>
      </c>
      <c r="J231" s="5">
        <v>958</v>
      </c>
      <c r="K231" s="7" t="str">
        <f>HYPERLINK("http://www.centcols.org/util/geo/visuGen.php?code=US-GA-0292","US-GA-0292")</f>
        <v>US-GA-0292</v>
      </c>
      <c r="L231" s="8" t="s">
        <v>2398</v>
      </c>
      <c r="M231" s="9" t="s">
        <v>2399</v>
      </c>
      <c r="N231" s="8">
        <v>0</v>
      </c>
      <c r="O231" s="8">
        <v>0</v>
      </c>
      <c r="P231" s="8"/>
      <c r="Q231" s="5">
        <v>-84.9614192</v>
      </c>
      <c r="R231" s="5">
        <v>34.9753208</v>
      </c>
      <c r="S231" s="5" t="s">
        <v>2400</v>
      </c>
      <c r="T231" s="5" t="s">
        <v>2401</v>
      </c>
      <c r="U231" s="8"/>
      <c r="V231" s="8"/>
      <c r="W231" s="8" t="s">
        <v>2966</v>
      </c>
      <c r="X231" s="8" t="s">
        <v>3125</v>
      </c>
    </row>
    <row r="232" spans="1:24" ht="22.5">
      <c r="A232" s="5" t="s">
        <v>2402</v>
      </c>
      <c r="B232" s="5" t="s">
        <v>2403</v>
      </c>
      <c r="C232" s="6" t="s">
        <v>2404</v>
      </c>
      <c r="D232" s="6"/>
      <c r="E232" s="6"/>
      <c r="F232" s="5" t="s">
        <v>2371</v>
      </c>
      <c r="G232" s="5"/>
      <c r="H232" s="6" t="s">
        <v>2405</v>
      </c>
      <c r="I232" s="5">
        <v>485</v>
      </c>
      <c r="J232" s="5">
        <v>1591</v>
      </c>
      <c r="K232" s="7" t="str">
        <f>HYPERLINK("http://www.centcols.org/util/geo/visuGen.php?code=US-GA-0485a","US-GA-0485a")</f>
        <v>US-GA-0485a</v>
      </c>
      <c r="L232" s="8" t="s">
        <v>2406</v>
      </c>
      <c r="M232" s="9" t="s">
        <v>2407</v>
      </c>
      <c r="N232" s="8">
        <v>0</v>
      </c>
      <c r="O232" s="8">
        <v>0</v>
      </c>
      <c r="P232" s="8"/>
      <c r="Q232" s="5">
        <v>-85.4691889</v>
      </c>
      <c r="R232" s="5">
        <v>34.5333611</v>
      </c>
      <c r="S232" s="5" t="s">
        <v>2408</v>
      </c>
      <c r="T232" s="5" t="s">
        <v>2409</v>
      </c>
      <c r="U232" s="8"/>
      <c r="V232" s="8"/>
      <c r="W232" s="8" t="s">
        <v>2966</v>
      </c>
      <c r="X232" s="8" t="s">
        <v>3085</v>
      </c>
    </row>
    <row r="233" spans="1:24" ht="11.25">
      <c r="A233" s="5" t="s">
        <v>2410</v>
      </c>
      <c r="B233" s="5" t="s">
        <v>2411</v>
      </c>
      <c r="C233" s="6" t="s">
        <v>2412</v>
      </c>
      <c r="D233" s="6"/>
      <c r="E233" s="6"/>
      <c r="F233" s="5" t="s">
        <v>2371</v>
      </c>
      <c r="G233" s="5"/>
      <c r="H233" s="6" t="s">
        <v>2405</v>
      </c>
      <c r="I233" s="5">
        <v>493</v>
      </c>
      <c r="J233" s="5">
        <v>1617</v>
      </c>
      <c r="K233" s="7" t="str">
        <f>HYPERLINK("http://www.centcols.org/util/geo/visuGen.php?code=US-GA-0493","US-GA-0493")</f>
        <v>US-GA-0493</v>
      </c>
      <c r="L233" s="8" t="s">
        <v>2413</v>
      </c>
      <c r="M233" s="9" t="s">
        <v>2414</v>
      </c>
      <c r="N233" s="8">
        <v>0</v>
      </c>
      <c r="O233" s="8">
        <v>0</v>
      </c>
      <c r="P233" s="8"/>
      <c r="Q233" s="5">
        <v>-85.5019387</v>
      </c>
      <c r="R233" s="5">
        <v>34.5430611</v>
      </c>
      <c r="S233" s="5" t="s">
        <v>2415</v>
      </c>
      <c r="T233" s="5" t="s">
        <v>2416</v>
      </c>
      <c r="U233" s="8"/>
      <c r="V233" s="8"/>
      <c r="W233" s="8" t="s">
        <v>2966</v>
      </c>
      <c r="X233" s="8" t="s">
        <v>2967</v>
      </c>
    </row>
    <row r="234" spans="1:24" ht="11.25">
      <c r="A234" s="5" t="s">
        <v>2417</v>
      </c>
      <c r="B234" s="5" t="s">
        <v>2418</v>
      </c>
      <c r="C234" s="6" t="s">
        <v>2419</v>
      </c>
      <c r="D234" s="6"/>
      <c r="E234" s="6" t="s">
        <v>2420</v>
      </c>
      <c r="F234" s="5" t="s">
        <v>2371</v>
      </c>
      <c r="G234" s="5"/>
      <c r="H234" s="6" t="s">
        <v>2421</v>
      </c>
      <c r="I234" s="5">
        <v>617</v>
      </c>
      <c r="J234" s="5">
        <v>2024</v>
      </c>
      <c r="K234" s="7" t="str">
        <f>HYPERLINK("http://www.centcols.org/util/geo/visuGen.php?code=US-GA-0617a","US-GA-0617a")</f>
        <v>US-GA-0617a</v>
      </c>
      <c r="L234" s="8" t="s">
        <v>2422</v>
      </c>
      <c r="M234" s="8" t="s">
        <v>2988</v>
      </c>
      <c r="N234" s="8">
        <v>10</v>
      </c>
      <c r="O234" s="8">
        <v>35</v>
      </c>
      <c r="P234" s="8"/>
      <c r="Q234" s="5">
        <v>-85.4630289</v>
      </c>
      <c r="R234" s="5">
        <v>34.7030811</v>
      </c>
      <c r="S234" s="5" t="s">
        <v>2423</v>
      </c>
      <c r="T234" s="5" t="s">
        <v>2424</v>
      </c>
      <c r="U234" s="8"/>
      <c r="V234" s="8"/>
      <c r="W234" s="8" t="s">
        <v>2966</v>
      </c>
      <c r="X234" s="8" t="s">
        <v>2425</v>
      </c>
    </row>
    <row r="235" spans="1:24" ht="11.25">
      <c r="A235" s="5" t="s">
        <v>2426</v>
      </c>
      <c r="B235" s="5" t="s">
        <v>2427</v>
      </c>
      <c r="C235" s="6" t="s">
        <v>2428</v>
      </c>
      <c r="D235" s="6"/>
      <c r="E235" s="6"/>
      <c r="F235" s="5" t="s">
        <v>2371</v>
      </c>
      <c r="G235" s="5"/>
      <c r="H235" s="6" t="s">
        <v>2429</v>
      </c>
      <c r="I235" s="5">
        <v>784</v>
      </c>
      <c r="J235" s="5">
        <v>2572</v>
      </c>
      <c r="K235" s="7" t="str">
        <f>HYPERLINK("http://www.centcols.org/util/geo/visuGen.php?code=US-GA-0784a","US-GA-0784a")</f>
        <v>US-GA-0784a</v>
      </c>
      <c r="L235" s="8" t="s">
        <v>2430</v>
      </c>
      <c r="M235" s="8" t="s">
        <v>3222</v>
      </c>
      <c r="N235" s="8">
        <v>15</v>
      </c>
      <c r="O235" s="8">
        <v>99</v>
      </c>
      <c r="P235" s="8" t="s">
        <v>3338</v>
      </c>
      <c r="Q235" s="5">
        <v>-84.5444378</v>
      </c>
      <c r="R235" s="5">
        <v>34.9036808</v>
      </c>
      <c r="S235" s="5" t="s">
        <v>2431</v>
      </c>
      <c r="T235" s="5" t="s">
        <v>2432</v>
      </c>
      <c r="U235" s="8"/>
      <c r="V235" s="8" t="s">
        <v>2433</v>
      </c>
      <c r="W235" s="8" t="s">
        <v>2966</v>
      </c>
      <c r="X235" s="8" t="s">
        <v>2386</v>
      </c>
    </row>
    <row r="236" spans="1:24" ht="11.25">
      <c r="A236" s="5" t="s">
        <v>2434</v>
      </c>
      <c r="B236" s="5" t="s">
        <v>2435</v>
      </c>
      <c r="C236" s="6" t="s">
        <v>2436</v>
      </c>
      <c r="D236" s="6"/>
      <c r="E236" s="6"/>
      <c r="F236" s="5" t="s">
        <v>2371</v>
      </c>
      <c r="G236" s="5"/>
      <c r="H236" s="6" t="s">
        <v>2437</v>
      </c>
      <c r="I236" s="5">
        <v>905</v>
      </c>
      <c r="J236" s="5">
        <v>2969</v>
      </c>
      <c r="K236" s="7" t="str">
        <f>HYPERLINK("http://www.centcols.org/util/geo/visuGen.php?code=US-GA-0905a","US-GA-0905a")</f>
        <v>US-GA-0905a</v>
      </c>
      <c r="L236" s="8" t="s">
        <v>2438</v>
      </c>
      <c r="M236" s="8" t="s">
        <v>2962</v>
      </c>
      <c r="N236" s="8">
        <v>20</v>
      </c>
      <c r="O236" s="8">
        <v>99</v>
      </c>
      <c r="P236" s="8" t="s">
        <v>3338</v>
      </c>
      <c r="Q236" s="5">
        <v>-83.8280292</v>
      </c>
      <c r="R236" s="5">
        <v>34.6973613</v>
      </c>
      <c r="S236" s="5" t="s">
        <v>2439</v>
      </c>
      <c r="T236" s="5" t="s">
        <v>2440</v>
      </c>
      <c r="U236" s="8"/>
      <c r="V236" s="8" t="s">
        <v>2441</v>
      </c>
      <c r="W236" s="8" t="s">
        <v>2966</v>
      </c>
      <c r="X236" s="8" t="s">
        <v>3202</v>
      </c>
    </row>
    <row r="237" spans="1:24" ht="11.25">
      <c r="A237" s="5" t="s">
        <v>2442</v>
      </c>
      <c r="B237" s="5" t="s">
        <v>2443</v>
      </c>
      <c r="C237" s="6" t="s">
        <v>3079</v>
      </c>
      <c r="D237" s="6"/>
      <c r="E237" s="6"/>
      <c r="F237" s="5" t="s">
        <v>2371</v>
      </c>
      <c r="G237" s="5"/>
      <c r="H237" s="6" t="s">
        <v>2437</v>
      </c>
      <c r="I237" s="5">
        <v>925</v>
      </c>
      <c r="J237" s="5">
        <v>3035</v>
      </c>
      <c r="K237" s="7" t="str">
        <f>HYPERLINK("http://www.centcols.org/util/geo/visuGen.php?code=US-GA-0925","US-GA-0925")</f>
        <v>US-GA-0925</v>
      </c>
      <c r="L237" s="8" t="s">
        <v>2444</v>
      </c>
      <c r="M237" s="8"/>
      <c r="N237" s="8">
        <v>15</v>
      </c>
      <c r="O237" s="8">
        <v>99</v>
      </c>
      <c r="P237" s="8" t="s">
        <v>3338</v>
      </c>
      <c r="Q237" s="5">
        <v>-83.826111</v>
      </c>
      <c r="R237" s="5">
        <v>34.776667</v>
      </c>
      <c r="S237" s="5" t="s">
        <v>2445</v>
      </c>
      <c r="T237" s="5" t="s">
        <v>2446</v>
      </c>
      <c r="U237" s="8"/>
      <c r="V237" s="8" t="s">
        <v>2447</v>
      </c>
      <c r="W237" s="8" t="s">
        <v>2966</v>
      </c>
      <c r="X237" s="8" t="s">
        <v>3011</v>
      </c>
    </row>
    <row r="238" spans="1:24" ht="11.25">
      <c r="A238" s="5" t="s">
        <v>2448</v>
      </c>
      <c r="B238" s="5" t="s">
        <v>2449</v>
      </c>
      <c r="C238" s="6" t="s">
        <v>2450</v>
      </c>
      <c r="D238" s="6"/>
      <c r="E238" s="6" t="s">
        <v>2451</v>
      </c>
      <c r="F238" s="5" t="s">
        <v>2371</v>
      </c>
      <c r="G238" s="5"/>
      <c r="H238" s="6" t="s">
        <v>2429</v>
      </c>
      <c r="I238" s="5">
        <v>997</v>
      </c>
      <c r="J238" s="5">
        <v>3271</v>
      </c>
      <c r="K238" s="7" t="str">
        <f>HYPERLINK("http://www.centcols.org/util/geo/visuGen.php?code=US-GA-0997","US-GA-0997")</f>
        <v>US-GA-0997</v>
      </c>
      <c r="L238" s="8" t="s">
        <v>2452</v>
      </c>
      <c r="M238" s="8"/>
      <c r="N238" s="8">
        <v>0</v>
      </c>
      <c r="O238" s="8">
        <v>0</v>
      </c>
      <c r="P238" s="8"/>
      <c r="Q238" s="5">
        <v>-84.5775</v>
      </c>
      <c r="R238" s="5">
        <v>34.861111</v>
      </c>
      <c r="S238" s="5" t="s">
        <v>2453</v>
      </c>
      <c r="T238" s="5" t="s">
        <v>2454</v>
      </c>
      <c r="U238" s="8"/>
      <c r="V238" s="8" t="s">
        <v>2455</v>
      </c>
      <c r="W238" s="8" t="s">
        <v>2966</v>
      </c>
      <c r="X238" s="8" t="s">
        <v>3011</v>
      </c>
    </row>
    <row r="239" spans="1:24" ht="11.25">
      <c r="A239" s="5" t="s">
        <v>2456</v>
      </c>
      <c r="B239" s="5" t="s">
        <v>2457</v>
      </c>
      <c r="C239" s="6" t="s">
        <v>2458</v>
      </c>
      <c r="D239" s="6"/>
      <c r="E239" s="6"/>
      <c r="F239" s="5" t="s">
        <v>2371</v>
      </c>
      <c r="G239" s="5"/>
      <c r="H239" s="6" t="s">
        <v>2459</v>
      </c>
      <c r="I239" s="5">
        <v>1049</v>
      </c>
      <c r="J239" s="5">
        <v>3442</v>
      </c>
      <c r="K239" s="7" t="str">
        <f>HYPERLINK("http://www.centcols.org/util/geo/visuGen.php?code=US-GA-1049","US-GA-1049")</f>
        <v>US-GA-1049</v>
      </c>
      <c r="L239" s="8" t="s">
        <v>2460</v>
      </c>
      <c r="M239" s="8" t="s">
        <v>2962</v>
      </c>
      <c r="N239" s="8">
        <v>20</v>
      </c>
      <c r="O239" s="8">
        <v>99</v>
      </c>
      <c r="P239" s="8"/>
      <c r="Q239" s="5">
        <v>-83.6911095</v>
      </c>
      <c r="R239" s="5">
        <v>34.8213911</v>
      </c>
      <c r="S239" s="5" t="s">
        <v>2461</v>
      </c>
      <c r="T239" s="5" t="s">
        <v>2462</v>
      </c>
      <c r="U239" s="8"/>
      <c r="V239" s="8"/>
      <c r="W239" s="8" t="s">
        <v>2966</v>
      </c>
      <c r="X239" s="8" t="s">
        <v>2967</v>
      </c>
    </row>
    <row r="240" spans="1:24" ht="11.25">
      <c r="A240" s="5" t="s">
        <v>2463</v>
      </c>
      <c r="B240" s="5" t="s">
        <v>2464</v>
      </c>
      <c r="C240" s="6" t="s">
        <v>2465</v>
      </c>
      <c r="D240" s="6"/>
      <c r="E240" s="6"/>
      <c r="F240" s="5" t="s">
        <v>2371</v>
      </c>
      <c r="G240" s="5"/>
      <c r="H240" s="6" t="s">
        <v>2372</v>
      </c>
      <c r="I240" s="5">
        <v>1055</v>
      </c>
      <c r="J240" s="5">
        <v>3461</v>
      </c>
      <c r="K240" s="7" t="str">
        <f>HYPERLINK("http://www.centcols.org/util/geo/visuGen.php?code=US-GA-1055a","US-GA-1055a")</f>
        <v>US-GA-1055a</v>
      </c>
      <c r="L240" s="8" t="s">
        <v>2466</v>
      </c>
      <c r="M240" s="8" t="s">
        <v>3113</v>
      </c>
      <c r="N240" s="8">
        <v>10</v>
      </c>
      <c r="O240" s="8">
        <v>35</v>
      </c>
      <c r="P240" s="8"/>
      <c r="Q240" s="5">
        <v>-83.9753871</v>
      </c>
      <c r="R240" s="5">
        <v>34.7840159</v>
      </c>
      <c r="S240" s="5" t="s">
        <v>2467</v>
      </c>
      <c r="T240" s="5" t="s">
        <v>2468</v>
      </c>
      <c r="U240" s="8"/>
      <c r="V240" s="8"/>
      <c r="W240" s="8" t="s">
        <v>2966</v>
      </c>
      <c r="X240" s="8" t="s">
        <v>2967</v>
      </c>
    </row>
    <row r="241" spans="1:24" ht="11.25">
      <c r="A241" s="5" t="s">
        <v>2469</v>
      </c>
      <c r="B241" s="5" t="s">
        <v>2470</v>
      </c>
      <c r="C241" s="6" t="s">
        <v>2471</v>
      </c>
      <c r="D241" s="6"/>
      <c r="E241" s="6"/>
      <c r="F241" s="5" t="s">
        <v>2371</v>
      </c>
      <c r="G241" s="5"/>
      <c r="H241" s="6" t="s">
        <v>2472</v>
      </c>
      <c r="I241" s="5">
        <v>1058</v>
      </c>
      <c r="J241" s="5">
        <v>3471</v>
      </c>
      <c r="K241" s="7" t="str">
        <f>HYPERLINK("http://www.centcols.org/util/geo/visuGen.php?code=US-GA-1058","US-GA-1058")</f>
        <v>US-GA-1058</v>
      </c>
      <c r="L241" s="8" t="s">
        <v>2460</v>
      </c>
      <c r="M241" s="8" t="s">
        <v>2473</v>
      </c>
      <c r="N241" s="8">
        <v>15</v>
      </c>
      <c r="O241" s="8">
        <v>99</v>
      </c>
      <c r="P241" s="8" t="s">
        <v>3338</v>
      </c>
      <c r="Q241" s="5">
        <v>-83.6593035</v>
      </c>
      <c r="R241" s="5">
        <v>34.8365337</v>
      </c>
      <c r="S241" s="5" t="s">
        <v>2474</v>
      </c>
      <c r="T241" s="5" t="s">
        <v>2475</v>
      </c>
      <c r="U241" s="8" t="s">
        <v>3622</v>
      </c>
      <c r="V241" s="8" t="s">
        <v>2476</v>
      </c>
      <c r="W241" s="8" t="s">
        <v>2966</v>
      </c>
      <c r="X241" s="8" t="s">
        <v>2967</v>
      </c>
    </row>
    <row r="242" spans="1:24" ht="11.25">
      <c r="A242" s="5" t="s">
        <v>2477</v>
      </c>
      <c r="B242" s="5" t="s">
        <v>2478</v>
      </c>
      <c r="C242" s="6" t="s">
        <v>2479</v>
      </c>
      <c r="D242" s="6"/>
      <c r="E242" s="6"/>
      <c r="F242" s="5" t="s">
        <v>2371</v>
      </c>
      <c r="G242" s="5"/>
      <c r="H242" s="6" t="s">
        <v>2459</v>
      </c>
      <c r="I242" s="5">
        <v>1165</v>
      </c>
      <c r="J242" s="5">
        <v>3822</v>
      </c>
      <c r="K242" s="7" t="str">
        <f>HYPERLINK("http://www.centcols.org/util/geo/visuGen.php?code=US-GA-1165","US-GA-1165")</f>
        <v>US-GA-1165</v>
      </c>
      <c r="L242" s="8" t="s">
        <v>2460</v>
      </c>
      <c r="M242" s="8" t="s">
        <v>3113</v>
      </c>
      <c r="N242" s="8">
        <v>10</v>
      </c>
      <c r="O242" s="8">
        <v>35</v>
      </c>
      <c r="P242" s="8" t="s">
        <v>3338</v>
      </c>
      <c r="Q242" s="5">
        <v>-83.6895125</v>
      </c>
      <c r="R242" s="5">
        <v>34.8050067</v>
      </c>
      <c r="S242" s="5" t="s">
        <v>2480</v>
      </c>
      <c r="T242" s="5" t="s">
        <v>2481</v>
      </c>
      <c r="U242" s="8"/>
      <c r="V242" s="8" t="s">
        <v>2476</v>
      </c>
      <c r="W242" s="8" t="s">
        <v>2966</v>
      </c>
      <c r="X242" s="8" t="s">
        <v>2967</v>
      </c>
    </row>
    <row r="243" spans="1:24" ht="11.25">
      <c r="A243" s="5" t="s">
        <v>2482</v>
      </c>
      <c r="B243" s="5" t="s">
        <v>2483</v>
      </c>
      <c r="C243" s="6" t="s">
        <v>2484</v>
      </c>
      <c r="D243" s="6"/>
      <c r="E243" s="6"/>
      <c r="F243" s="5" t="s">
        <v>2485</v>
      </c>
      <c r="G243" s="5"/>
      <c r="H243" s="6" t="s">
        <v>2486</v>
      </c>
      <c r="I243" s="5">
        <v>354</v>
      </c>
      <c r="J243" s="5">
        <v>1161</v>
      </c>
      <c r="K243" s="7" t="str">
        <f>HYPERLINK("http://www.centcols.org/util/geo/visuGen.php?code=US-HI-0354","US-HI-0354")</f>
        <v>US-HI-0354</v>
      </c>
      <c r="L243" s="8" t="s">
        <v>2486</v>
      </c>
      <c r="M243" s="8" t="s">
        <v>3113</v>
      </c>
      <c r="N243" s="8">
        <v>10</v>
      </c>
      <c r="O243" s="8">
        <v>35</v>
      </c>
      <c r="P243" s="8"/>
      <c r="Q243" s="5">
        <v>-157.7938432</v>
      </c>
      <c r="R243" s="5">
        <v>21.3665934</v>
      </c>
      <c r="S243" s="5" t="s">
        <v>2487</v>
      </c>
      <c r="T243" s="5" t="s">
        <v>2488</v>
      </c>
      <c r="U243" s="8"/>
      <c r="V243" s="8"/>
      <c r="W243" s="8" t="s">
        <v>2966</v>
      </c>
      <c r="X243" s="8" t="s">
        <v>2489</v>
      </c>
    </row>
    <row r="244" spans="1:24" ht="11.25">
      <c r="A244" s="5" t="s">
        <v>2490</v>
      </c>
      <c r="B244" s="5" t="s">
        <v>2491</v>
      </c>
      <c r="C244" s="6" t="s">
        <v>2492</v>
      </c>
      <c r="D244" s="6"/>
      <c r="E244" s="6"/>
      <c r="F244" s="5" t="s">
        <v>2485</v>
      </c>
      <c r="G244" s="5"/>
      <c r="H244" s="6" t="s">
        <v>2493</v>
      </c>
      <c r="I244" s="5">
        <v>387</v>
      </c>
      <c r="J244" s="5">
        <v>1270</v>
      </c>
      <c r="K244" s="7" t="str">
        <f>HYPERLINK("http://www.centcols.org/util/geo/visuGen.php?code=US-HI-0387","US-HI-0387")</f>
        <v>US-HI-0387</v>
      </c>
      <c r="L244" s="8" t="s">
        <v>2494</v>
      </c>
      <c r="M244" s="8" t="s">
        <v>2962</v>
      </c>
      <c r="N244" s="8">
        <v>20</v>
      </c>
      <c r="O244" s="8">
        <v>99</v>
      </c>
      <c r="P244" s="8"/>
      <c r="Q244" s="5">
        <v>-159.3283212</v>
      </c>
      <c r="R244" s="5">
        <v>22.1490284</v>
      </c>
      <c r="S244" s="5" t="s">
        <v>2495</v>
      </c>
      <c r="T244" s="5" t="s">
        <v>2496</v>
      </c>
      <c r="U244" s="8"/>
      <c r="V244" s="8"/>
      <c r="W244" s="8" t="s">
        <v>2966</v>
      </c>
      <c r="X244" s="8" t="s">
        <v>2967</v>
      </c>
    </row>
    <row r="245" spans="1:24" ht="11.25">
      <c r="A245" s="5" t="s">
        <v>2497</v>
      </c>
      <c r="B245" s="5" t="s">
        <v>2498</v>
      </c>
      <c r="C245" s="6" t="s">
        <v>2499</v>
      </c>
      <c r="D245" s="6"/>
      <c r="E245" s="6"/>
      <c r="F245" s="5" t="s">
        <v>2485</v>
      </c>
      <c r="G245" s="5"/>
      <c r="H245" s="6" t="s">
        <v>2500</v>
      </c>
      <c r="I245" s="5">
        <v>1581</v>
      </c>
      <c r="J245" s="5">
        <v>5187</v>
      </c>
      <c r="K245" s="7" t="str">
        <f>HYPERLINK("http://www.centcols.org/util/geo/visuGen.php?code=US-HI-1581","US-HI-1581")</f>
        <v>US-HI-1581</v>
      </c>
      <c r="L245" s="8" t="s">
        <v>2501</v>
      </c>
      <c r="M245" s="8" t="s">
        <v>2988</v>
      </c>
      <c r="N245" s="8">
        <v>10</v>
      </c>
      <c r="O245" s="8">
        <v>35</v>
      </c>
      <c r="P245" s="8"/>
      <c r="Q245" s="5">
        <v>-155.7922045</v>
      </c>
      <c r="R245" s="5">
        <v>19.6062534</v>
      </c>
      <c r="S245" s="5" t="s">
        <v>2502</v>
      </c>
      <c r="T245" s="5" t="s">
        <v>2503</v>
      </c>
      <c r="U245" s="8"/>
      <c r="V245" s="8"/>
      <c r="W245" s="8" t="s">
        <v>2966</v>
      </c>
      <c r="X245" s="8" t="s">
        <v>3202</v>
      </c>
    </row>
    <row r="246" spans="1:24" ht="11.25">
      <c r="A246" s="5" t="s">
        <v>2504</v>
      </c>
      <c r="B246" s="5" t="s">
        <v>2505</v>
      </c>
      <c r="C246" s="6" t="s">
        <v>2506</v>
      </c>
      <c r="D246" s="6"/>
      <c r="E246" s="6" t="s">
        <v>2507</v>
      </c>
      <c r="F246" s="5" t="s">
        <v>2485</v>
      </c>
      <c r="G246" s="5"/>
      <c r="H246" s="6" t="s">
        <v>2500</v>
      </c>
      <c r="I246" s="5">
        <v>2009</v>
      </c>
      <c r="J246" s="5">
        <v>6591</v>
      </c>
      <c r="K246" s="7" t="str">
        <f>HYPERLINK("http://www.centcols.org/util/geo/visuGen.php?code=US-HI-2009","US-HI-2009")</f>
        <v>US-HI-2009</v>
      </c>
      <c r="L246" s="8" t="s">
        <v>2508</v>
      </c>
      <c r="M246" s="8" t="s">
        <v>3113</v>
      </c>
      <c r="N246" s="8">
        <v>10</v>
      </c>
      <c r="O246" s="8">
        <v>35</v>
      </c>
      <c r="P246" s="8"/>
      <c r="Q246" s="5">
        <v>-155.4980592</v>
      </c>
      <c r="R246" s="5">
        <v>19.701391</v>
      </c>
      <c r="S246" s="5" t="s">
        <v>2509</v>
      </c>
      <c r="T246" s="5" t="s">
        <v>2510</v>
      </c>
      <c r="U246" s="8"/>
      <c r="V246" s="8"/>
      <c r="W246" s="8" t="s">
        <v>2966</v>
      </c>
      <c r="X246" s="8" t="s">
        <v>3202</v>
      </c>
    </row>
    <row r="247" spans="1:24" ht="11.25">
      <c r="A247" s="5" t="s">
        <v>2511</v>
      </c>
      <c r="B247" s="5" t="s">
        <v>2512</v>
      </c>
      <c r="C247" s="6" t="s">
        <v>3564</v>
      </c>
      <c r="D247" s="6"/>
      <c r="E247" s="6"/>
      <c r="F247" s="5" t="s">
        <v>2513</v>
      </c>
      <c r="G247" s="5"/>
      <c r="H247" s="6" t="s">
        <v>2514</v>
      </c>
      <c r="I247" s="5">
        <v>757</v>
      </c>
      <c r="J247" s="5">
        <v>2484</v>
      </c>
      <c r="K247" s="7" t="str">
        <f>HYPERLINK("http://www.centcols.org/util/geo/visuGen.php?code=US-ID-0757","US-ID-0757")</f>
        <v>US-ID-0757</v>
      </c>
      <c r="L247" s="8" t="s">
        <v>2515</v>
      </c>
      <c r="M247" s="8"/>
      <c r="N247" s="8">
        <v>0</v>
      </c>
      <c r="O247" s="8">
        <v>0</v>
      </c>
      <c r="P247" s="8"/>
      <c r="Q247" s="5">
        <v>-116.670278</v>
      </c>
      <c r="R247" s="5">
        <v>47.337222</v>
      </c>
      <c r="S247" s="5" t="s">
        <v>2516</v>
      </c>
      <c r="T247" s="5" t="s">
        <v>2517</v>
      </c>
      <c r="U247" s="8"/>
      <c r="V247" s="8"/>
      <c r="W247" s="8" t="s">
        <v>2966</v>
      </c>
      <c r="X247" s="8" t="s">
        <v>3011</v>
      </c>
    </row>
    <row r="248" spans="1:24" ht="11.25">
      <c r="A248" s="5" t="s">
        <v>2518</v>
      </c>
      <c r="B248" s="5" t="s">
        <v>2519</v>
      </c>
      <c r="C248" s="6" t="s">
        <v>2520</v>
      </c>
      <c r="D248" s="6"/>
      <c r="E248" s="6"/>
      <c r="F248" s="5" t="s">
        <v>2513</v>
      </c>
      <c r="G248" s="5"/>
      <c r="H248" s="6" t="s">
        <v>2521</v>
      </c>
      <c r="I248" s="5">
        <v>800</v>
      </c>
      <c r="J248" s="5">
        <v>2625</v>
      </c>
      <c r="K248" s="7" t="str">
        <f>HYPERLINK("http://www.centcols.org/util/geo/visuGen.php?code=US-ID-0800","US-ID-0800")</f>
        <v>US-ID-0800</v>
      </c>
      <c r="L248" s="8" t="s">
        <v>2522</v>
      </c>
      <c r="M248" s="9" t="s">
        <v>2523</v>
      </c>
      <c r="N248" s="8">
        <v>0</v>
      </c>
      <c r="O248" s="8">
        <v>0</v>
      </c>
      <c r="P248" s="8"/>
      <c r="Q248" s="5">
        <v>-116.6198382</v>
      </c>
      <c r="R248" s="5">
        <v>43.8381412</v>
      </c>
      <c r="S248" s="5" t="s">
        <v>2524</v>
      </c>
      <c r="T248" s="5" t="s">
        <v>2525</v>
      </c>
      <c r="U248" s="8"/>
      <c r="V248" s="8"/>
      <c r="W248" s="8" t="s">
        <v>2966</v>
      </c>
      <c r="X248" s="8" t="s">
        <v>3202</v>
      </c>
    </row>
    <row r="249" spans="1:24" ht="11.25">
      <c r="A249" s="5" t="s">
        <v>2526</v>
      </c>
      <c r="B249" s="5" t="s">
        <v>2527</v>
      </c>
      <c r="C249" s="6" t="s">
        <v>2528</v>
      </c>
      <c r="D249" s="6"/>
      <c r="E249" s="6"/>
      <c r="F249" s="5" t="s">
        <v>2513</v>
      </c>
      <c r="G249" s="5"/>
      <c r="H249" s="6" t="s">
        <v>2529</v>
      </c>
      <c r="I249" s="5">
        <v>842</v>
      </c>
      <c r="J249" s="5">
        <v>2762</v>
      </c>
      <c r="K249" s="7" t="str">
        <f>HYPERLINK("http://www.centcols.org/util/geo/visuGen.php?code=US-ID-0842","US-ID-0842")</f>
        <v>US-ID-0842</v>
      </c>
      <c r="L249" s="8" t="s">
        <v>2530</v>
      </c>
      <c r="M249" s="9" t="s">
        <v>2531</v>
      </c>
      <c r="N249" s="8">
        <v>0</v>
      </c>
      <c r="O249" s="8">
        <v>0</v>
      </c>
      <c r="P249" s="8"/>
      <c r="Q249" s="5">
        <v>-117.0285887</v>
      </c>
      <c r="R249" s="5">
        <v>46.4684209</v>
      </c>
      <c r="S249" s="5" t="s">
        <v>2532</v>
      </c>
      <c r="T249" s="5" t="s">
        <v>2533</v>
      </c>
      <c r="U249" s="8"/>
      <c r="V249" s="9"/>
      <c r="W249" s="8" t="s">
        <v>2966</v>
      </c>
      <c r="X249" s="8" t="s">
        <v>3202</v>
      </c>
    </row>
    <row r="250" spans="1:24" ht="11.25">
      <c r="A250" s="5" t="s">
        <v>2534</v>
      </c>
      <c r="B250" s="5" t="s">
        <v>2535</v>
      </c>
      <c r="C250" s="6" t="s">
        <v>2536</v>
      </c>
      <c r="D250" s="6"/>
      <c r="E250" s="6"/>
      <c r="F250" s="5" t="s">
        <v>2513</v>
      </c>
      <c r="G250" s="5"/>
      <c r="H250" s="6" t="s">
        <v>2537</v>
      </c>
      <c r="I250" s="5">
        <v>1078</v>
      </c>
      <c r="J250" s="5">
        <v>3537</v>
      </c>
      <c r="K250" s="7" t="str">
        <f>HYPERLINK("http://www.centcols.org/util/geo/visuGen.php?code=US-ID-1078","US-ID-1078")</f>
        <v>US-ID-1078</v>
      </c>
      <c r="L250" s="8" t="s">
        <v>2538</v>
      </c>
      <c r="M250" s="8" t="s">
        <v>3113</v>
      </c>
      <c r="N250" s="8">
        <v>10</v>
      </c>
      <c r="O250" s="8">
        <v>35</v>
      </c>
      <c r="P250" s="8"/>
      <c r="Q250" s="5">
        <v>-116.0242899</v>
      </c>
      <c r="R250" s="5">
        <v>45.8371111</v>
      </c>
      <c r="S250" s="5" t="s">
        <v>2539</v>
      </c>
      <c r="T250" s="5" t="s">
        <v>2540</v>
      </c>
      <c r="U250" s="8"/>
      <c r="V250" s="8"/>
      <c r="W250" s="8" t="s">
        <v>2966</v>
      </c>
      <c r="X250" s="8" t="s">
        <v>3202</v>
      </c>
    </row>
    <row r="251" spans="1:24" ht="11.25">
      <c r="A251" s="5" t="s">
        <v>2541</v>
      </c>
      <c r="B251" s="5" t="s">
        <v>2542</v>
      </c>
      <c r="C251" s="6" t="s">
        <v>2543</v>
      </c>
      <c r="D251" s="6"/>
      <c r="E251" s="6"/>
      <c r="F251" s="5" t="s">
        <v>2513</v>
      </c>
      <c r="G251" s="5"/>
      <c r="H251" s="6" t="s">
        <v>2544</v>
      </c>
      <c r="I251" s="5">
        <v>1256</v>
      </c>
      <c r="J251" s="5">
        <v>4121</v>
      </c>
      <c r="K251" s="7" t="str">
        <f>HYPERLINK("http://www.centcols.org/util/geo/visuGen.php?code=US-ID-1256","US-ID-1256")</f>
        <v>US-ID-1256</v>
      </c>
      <c r="L251" s="8" t="s">
        <v>2545</v>
      </c>
      <c r="M251" s="8" t="s">
        <v>3113</v>
      </c>
      <c r="N251" s="8">
        <v>10</v>
      </c>
      <c r="O251" s="8">
        <v>35</v>
      </c>
      <c r="P251" s="8"/>
      <c r="Q251" s="5">
        <v>-116.2911708</v>
      </c>
      <c r="R251" s="5">
        <v>47.9781132</v>
      </c>
      <c r="S251" s="5" t="s">
        <v>2546</v>
      </c>
      <c r="T251" s="5" t="s">
        <v>2547</v>
      </c>
      <c r="U251" s="8"/>
      <c r="V251" s="8"/>
      <c r="W251" s="8" t="s">
        <v>2966</v>
      </c>
      <c r="X251" s="8" t="s">
        <v>2548</v>
      </c>
    </row>
    <row r="252" spans="1:24" ht="11.25">
      <c r="A252" s="5" t="s">
        <v>2549</v>
      </c>
      <c r="B252" s="5" t="s">
        <v>2550</v>
      </c>
      <c r="C252" s="6" t="s">
        <v>2551</v>
      </c>
      <c r="D252" s="6"/>
      <c r="E252" s="6"/>
      <c r="F252" s="5" t="s">
        <v>2513</v>
      </c>
      <c r="G252" s="5"/>
      <c r="H252" s="6" t="s">
        <v>2552</v>
      </c>
      <c r="I252" s="5">
        <v>1298</v>
      </c>
      <c r="J252" s="5">
        <v>4258</v>
      </c>
      <c r="K252" s="7" t="str">
        <f>HYPERLINK("http://www.centcols.org/util/geo/visuGen.php?code=US-ID-1298","US-ID-1298")</f>
        <v>US-ID-1298</v>
      </c>
      <c r="L252" s="8" t="s">
        <v>2553</v>
      </c>
      <c r="M252" s="9" t="s">
        <v>2554</v>
      </c>
      <c r="N252" s="8">
        <v>0</v>
      </c>
      <c r="O252" s="8">
        <v>0</v>
      </c>
      <c r="P252" s="8"/>
      <c r="Q252" s="5">
        <v>-116.2453091</v>
      </c>
      <c r="R252" s="5">
        <v>43.835791</v>
      </c>
      <c r="S252" s="5" t="s">
        <v>2555</v>
      </c>
      <c r="T252" s="5" t="s">
        <v>2556</v>
      </c>
      <c r="U252" s="8"/>
      <c r="V252" s="9"/>
      <c r="W252" s="8" t="s">
        <v>2966</v>
      </c>
      <c r="X252" s="8" t="s">
        <v>2967</v>
      </c>
    </row>
    <row r="253" spans="1:24" ht="11.25">
      <c r="A253" s="5" t="s">
        <v>2557</v>
      </c>
      <c r="B253" s="5" t="s">
        <v>1101</v>
      </c>
      <c r="C253" s="6" t="s">
        <v>1102</v>
      </c>
      <c r="D253" s="6"/>
      <c r="E253" s="6"/>
      <c r="F253" s="5" t="s">
        <v>2513</v>
      </c>
      <c r="G253" s="5"/>
      <c r="H253" s="6" t="s">
        <v>2537</v>
      </c>
      <c r="I253" s="5">
        <v>1332</v>
      </c>
      <c r="J253" s="5">
        <v>4370</v>
      </c>
      <c r="K253" s="7" t="str">
        <f>HYPERLINK("http://www.centcols.org/util/geo/visuGen.php?code=US-ID-1332","US-ID-1332")</f>
        <v>US-ID-1332</v>
      </c>
      <c r="L253" s="8" t="s">
        <v>1103</v>
      </c>
      <c r="M253" s="9" t="s">
        <v>1104</v>
      </c>
      <c r="N253" s="8">
        <v>0</v>
      </c>
      <c r="O253" s="8">
        <v>0</v>
      </c>
      <c r="P253" s="8"/>
      <c r="Q253" s="5">
        <v>-116.2379292</v>
      </c>
      <c r="R253" s="5">
        <v>45.8449207</v>
      </c>
      <c r="S253" s="5" t="s">
        <v>1105</v>
      </c>
      <c r="T253" s="5" t="s">
        <v>1106</v>
      </c>
      <c r="U253" s="8"/>
      <c r="V253" s="9"/>
      <c r="W253" s="8" t="s">
        <v>2966</v>
      </c>
      <c r="X253" s="8" t="s">
        <v>2967</v>
      </c>
    </row>
    <row r="254" spans="1:24" ht="11.25">
      <c r="A254" s="5" t="s">
        <v>1107</v>
      </c>
      <c r="B254" s="5" t="s">
        <v>1108</v>
      </c>
      <c r="C254" s="6" t="s">
        <v>1109</v>
      </c>
      <c r="D254" s="6"/>
      <c r="E254" s="6"/>
      <c r="F254" s="5" t="s">
        <v>2513</v>
      </c>
      <c r="G254" s="5"/>
      <c r="H254" s="6" t="s">
        <v>1110</v>
      </c>
      <c r="I254" s="5">
        <v>1391</v>
      </c>
      <c r="J254" s="5">
        <v>4564</v>
      </c>
      <c r="K254" s="7" t="str">
        <f>HYPERLINK("http://www.centcols.org/util/geo/visuGen.php?code=US-ID-1391","US-ID-1391")</f>
        <v>US-ID-1391</v>
      </c>
      <c r="L254" s="8" t="s">
        <v>1111</v>
      </c>
      <c r="M254" s="9" t="s">
        <v>1112</v>
      </c>
      <c r="N254" s="8">
        <v>0</v>
      </c>
      <c r="O254" s="8">
        <v>0</v>
      </c>
      <c r="P254" s="8"/>
      <c r="Q254" s="5">
        <v>-112.4248393</v>
      </c>
      <c r="R254" s="5">
        <v>43.2915807</v>
      </c>
      <c r="S254" s="5" t="s">
        <v>1113</v>
      </c>
      <c r="T254" s="5" t="s">
        <v>1114</v>
      </c>
      <c r="U254" s="8"/>
      <c r="V254" s="8"/>
      <c r="W254" s="8" t="s">
        <v>2966</v>
      </c>
      <c r="X254" s="8" t="s">
        <v>3202</v>
      </c>
    </row>
    <row r="255" spans="1:24" ht="11.25">
      <c r="A255" s="5" t="s">
        <v>1115</v>
      </c>
      <c r="B255" s="5" t="s">
        <v>1116</v>
      </c>
      <c r="C255" s="6" t="s">
        <v>1117</v>
      </c>
      <c r="D255" s="6"/>
      <c r="E255" s="6"/>
      <c r="F255" s="5" t="s">
        <v>2513</v>
      </c>
      <c r="G255" s="5"/>
      <c r="H255" s="6" t="s">
        <v>1118</v>
      </c>
      <c r="I255" s="5">
        <v>1407</v>
      </c>
      <c r="J255" s="5">
        <v>4616</v>
      </c>
      <c r="K255" s="7" t="str">
        <f>HYPERLINK("http://www.centcols.org/util/geo/visuGen.php?code=US-ID-1407","US-ID-1407")</f>
        <v>US-ID-1407</v>
      </c>
      <c r="L255" s="8" t="s">
        <v>1119</v>
      </c>
      <c r="M255" s="8" t="s">
        <v>2962</v>
      </c>
      <c r="N255" s="8">
        <v>20</v>
      </c>
      <c r="O255" s="8">
        <v>99</v>
      </c>
      <c r="P255" s="8" t="s">
        <v>3338</v>
      </c>
      <c r="Q255" s="5">
        <v>-116.6511099</v>
      </c>
      <c r="R255" s="5">
        <v>45.2980571</v>
      </c>
      <c r="S255" s="5" t="s">
        <v>1120</v>
      </c>
      <c r="T255" s="5" t="s">
        <v>1121</v>
      </c>
      <c r="U255" s="8"/>
      <c r="V255" s="8" t="s">
        <v>1122</v>
      </c>
      <c r="W255" s="8" t="s">
        <v>2966</v>
      </c>
      <c r="X255" s="8" t="s">
        <v>3085</v>
      </c>
    </row>
    <row r="256" spans="1:24" ht="11.25">
      <c r="A256" s="5" t="s">
        <v>1123</v>
      </c>
      <c r="B256" s="5" t="s">
        <v>1124</v>
      </c>
      <c r="C256" s="10" t="s">
        <v>1125</v>
      </c>
      <c r="D256" s="10"/>
      <c r="E256" s="10" t="s">
        <v>1126</v>
      </c>
      <c r="F256" s="5" t="s">
        <v>2513</v>
      </c>
      <c r="G256" s="5"/>
      <c r="H256" s="6" t="s">
        <v>2537</v>
      </c>
      <c r="I256" s="5">
        <v>1722</v>
      </c>
      <c r="J256" s="5">
        <v>5650</v>
      </c>
      <c r="K256" s="7" t="str">
        <f>HYPERLINK("http://www.centcols.org/util/geo/visuGen.php?code=US-ID-1722","US-ID-1722")</f>
        <v>US-ID-1722</v>
      </c>
      <c r="L256" s="8" t="s">
        <v>1127</v>
      </c>
      <c r="M256" s="8" t="s">
        <v>3113</v>
      </c>
      <c r="N256" s="8">
        <v>10</v>
      </c>
      <c r="O256" s="8">
        <v>35</v>
      </c>
      <c r="P256" s="8"/>
      <c r="Q256" s="5">
        <v>-114.7324591</v>
      </c>
      <c r="R256" s="5">
        <v>46.5864505</v>
      </c>
      <c r="S256" s="5" t="s">
        <v>1128</v>
      </c>
      <c r="T256" s="5" t="s">
        <v>1129</v>
      </c>
      <c r="U256" s="8"/>
      <c r="V256" s="8"/>
      <c r="W256" s="8" t="s">
        <v>2966</v>
      </c>
      <c r="X256" s="8" t="s">
        <v>1130</v>
      </c>
    </row>
    <row r="257" spans="1:24" ht="11.25">
      <c r="A257" s="5" t="s">
        <v>1131</v>
      </c>
      <c r="B257" s="5" t="s">
        <v>1132</v>
      </c>
      <c r="C257" s="6" t="s">
        <v>1133</v>
      </c>
      <c r="D257" s="6"/>
      <c r="E257" s="6"/>
      <c r="F257" s="5" t="s">
        <v>2513</v>
      </c>
      <c r="G257" s="5"/>
      <c r="H257" s="6" t="s">
        <v>2537</v>
      </c>
      <c r="I257" s="5">
        <v>1777</v>
      </c>
      <c r="J257" s="5">
        <v>5830</v>
      </c>
      <c r="K257" s="7" t="str">
        <f>HYPERLINK("http://www.centcols.org/util/geo/visuGen.php?code=US-ID-1777","US-ID-1777")</f>
        <v>US-ID-1777</v>
      </c>
      <c r="L257" s="8" t="s">
        <v>1134</v>
      </c>
      <c r="M257" s="8" t="s">
        <v>2988</v>
      </c>
      <c r="N257" s="8">
        <v>10</v>
      </c>
      <c r="O257" s="8">
        <v>35</v>
      </c>
      <c r="P257" s="8"/>
      <c r="Q257" s="5">
        <v>-114.6527394</v>
      </c>
      <c r="R257" s="5">
        <v>46.3229309</v>
      </c>
      <c r="S257" s="5" t="s">
        <v>1135</v>
      </c>
      <c r="T257" s="5" t="s">
        <v>1136</v>
      </c>
      <c r="U257" s="8"/>
      <c r="V257" s="8"/>
      <c r="W257" s="8" t="s">
        <v>2966</v>
      </c>
      <c r="X257" s="8" t="s">
        <v>1137</v>
      </c>
    </row>
    <row r="258" spans="1:24" ht="11.25">
      <c r="A258" s="5" t="s">
        <v>1138</v>
      </c>
      <c r="B258" s="5" t="s">
        <v>1139</v>
      </c>
      <c r="C258" s="6" t="s">
        <v>1140</v>
      </c>
      <c r="D258" s="6"/>
      <c r="E258" s="6"/>
      <c r="F258" s="5" t="s">
        <v>2513</v>
      </c>
      <c r="G258" s="5"/>
      <c r="H258" s="6" t="s">
        <v>1141</v>
      </c>
      <c r="I258" s="5">
        <v>1900</v>
      </c>
      <c r="J258" s="5">
        <v>6234</v>
      </c>
      <c r="K258" s="7" t="str">
        <f>HYPERLINK("http://www.centcols.org/util/geo/visuGen.php?code=US-ID-1900","US-ID-1900")</f>
        <v>US-ID-1900</v>
      </c>
      <c r="L258" s="8" t="s">
        <v>1142</v>
      </c>
      <c r="M258" s="8" t="s">
        <v>3113</v>
      </c>
      <c r="N258" s="8">
        <v>10</v>
      </c>
      <c r="O258" s="8">
        <v>35</v>
      </c>
      <c r="P258" s="8"/>
      <c r="Q258" s="5">
        <v>-112.9366537</v>
      </c>
      <c r="R258" s="5">
        <v>42.2965826</v>
      </c>
      <c r="S258" s="5" t="s">
        <v>1143</v>
      </c>
      <c r="T258" s="5" t="s">
        <v>1144</v>
      </c>
      <c r="U258" s="8"/>
      <c r="V258" s="8"/>
      <c r="W258" s="8" t="s">
        <v>2966</v>
      </c>
      <c r="X258" s="8" t="s">
        <v>1145</v>
      </c>
    </row>
    <row r="259" spans="1:24" ht="11.25">
      <c r="A259" s="5" t="s">
        <v>1146</v>
      </c>
      <c r="B259" s="5" t="s">
        <v>1147</v>
      </c>
      <c r="C259" s="6" t="s">
        <v>1148</v>
      </c>
      <c r="D259" s="6"/>
      <c r="E259" s="6"/>
      <c r="F259" s="5" t="s">
        <v>2513</v>
      </c>
      <c r="G259" s="5"/>
      <c r="H259" s="6" t="s">
        <v>2537</v>
      </c>
      <c r="I259" s="5">
        <v>1981</v>
      </c>
      <c r="J259" s="5">
        <v>6499</v>
      </c>
      <c r="K259" s="7" t="str">
        <f>HYPERLINK("http://www.centcols.org/util/geo/visuGen.php?code=US-ID-1981","US-ID-1981")</f>
        <v>US-ID-1981</v>
      </c>
      <c r="L259" s="8" t="s">
        <v>1149</v>
      </c>
      <c r="M259" s="8" t="s">
        <v>3113</v>
      </c>
      <c r="N259" s="8">
        <v>10</v>
      </c>
      <c r="O259" s="8">
        <v>35</v>
      </c>
      <c r="P259" s="8"/>
      <c r="Q259" s="5">
        <v>-115.4150063</v>
      </c>
      <c r="R259" s="5">
        <v>46.1397789</v>
      </c>
      <c r="S259" s="5" t="s">
        <v>1150</v>
      </c>
      <c r="T259" s="5" t="s">
        <v>1151</v>
      </c>
      <c r="U259" s="8"/>
      <c r="V259" s="8"/>
      <c r="W259" s="8" t="s">
        <v>2966</v>
      </c>
      <c r="X259" s="8" t="s">
        <v>2967</v>
      </c>
    </row>
    <row r="260" spans="1:24" ht="11.25">
      <c r="A260" s="5" t="s">
        <v>1152</v>
      </c>
      <c r="B260" s="5" t="s">
        <v>1153</v>
      </c>
      <c r="C260" s="6" t="s">
        <v>1154</v>
      </c>
      <c r="D260" s="6"/>
      <c r="E260" s="6"/>
      <c r="F260" s="5" t="s">
        <v>2513</v>
      </c>
      <c r="G260" s="5"/>
      <c r="H260" s="6" t="s">
        <v>1155</v>
      </c>
      <c r="I260" s="5">
        <v>2074</v>
      </c>
      <c r="J260" s="5">
        <v>6804</v>
      </c>
      <c r="K260" s="7" t="str">
        <f>HYPERLINK("http://www.centcols.org/util/geo/visuGen.php?code=US-ID-2074","US-ID-2074")</f>
        <v>US-ID-2074</v>
      </c>
      <c r="L260" s="8" t="s">
        <v>1156</v>
      </c>
      <c r="M260" s="8" t="s">
        <v>3113</v>
      </c>
      <c r="N260" s="8">
        <v>10</v>
      </c>
      <c r="O260" s="8">
        <v>35</v>
      </c>
      <c r="P260" s="8"/>
      <c r="Q260" s="5">
        <v>-111.8305117</v>
      </c>
      <c r="R260" s="5">
        <v>42.897696</v>
      </c>
      <c r="S260" s="5" t="s">
        <v>1157</v>
      </c>
      <c r="T260" s="5" t="s">
        <v>1158</v>
      </c>
      <c r="U260" s="8"/>
      <c r="V260" s="8"/>
      <c r="W260" s="8" t="s">
        <v>2966</v>
      </c>
      <c r="X260" s="8" t="s">
        <v>1159</v>
      </c>
    </row>
    <row r="261" spans="1:24" ht="11.25">
      <c r="A261" s="5" t="s">
        <v>1160</v>
      </c>
      <c r="B261" s="5" t="s">
        <v>1161</v>
      </c>
      <c r="C261" s="6" t="s">
        <v>1162</v>
      </c>
      <c r="D261" s="6"/>
      <c r="E261" s="6"/>
      <c r="F261" s="5" t="s">
        <v>2513</v>
      </c>
      <c r="G261" s="5"/>
      <c r="H261" s="6" t="s">
        <v>1163</v>
      </c>
      <c r="I261" s="5">
        <v>2134</v>
      </c>
      <c r="J261" s="5">
        <v>7001</v>
      </c>
      <c r="K261" s="7" t="str">
        <f>HYPERLINK("http://www.centcols.org/util/geo/visuGen.php?code=US-ID-2134","US-ID-2134")</f>
        <v>US-ID-2134</v>
      </c>
      <c r="L261" s="8" t="s">
        <v>1164</v>
      </c>
      <c r="M261" s="8"/>
      <c r="N261" s="8">
        <v>10</v>
      </c>
      <c r="O261" s="8">
        <v>35</v>
      </c>
      <c r="P261" s="8"/>
      <c r="Q261" s="5">
        <v>-113.857222</v>
      </c>
      <c r="R261" s="5">
        <v>41.658889</v>
      </c>
      <c r="S261" s="5" t="s">
        <v>1165</v>
      </c>
      <c r="T261" s="5" t="s">
        <v>1166</v>
      </c>
      <c r="U261" s="8"/>
      <c r="V261" s="8"/>
      <c r="W261" s="8" t="s">
        <v>2966</v>
      </c>
      <c r="X261" s="8" t="s">
        <v>3011</v>
      </c>
    </row>
    <row r="262" spans="1:24" ht="11.25">
      <c r="A262" s="5" t="s">
        <v>1167</v>
      </c>
      <c r="B262" s="5" t="s">
        <v>1168</v>
      </c>
      <c r="C262" s="6" t="s">
        <v>1169</v>
      </c>
      <c r="D262" s="6"/>
      <c r="E262" s="6"/>
      <c r="F262" s="5" t="s">
        <v>2513</v>
      </c>
      <c r="G262" s="5"/>
      <c r="H262" s="6" t="s">
        <v>1118</v>
      </c>
      <c r="I262" s="5">
        <v>2181</v>
      </c>
      <c r="J262" s="5">
        <v>7155</v>
      </c>
      <c r="K262" s="7" t="str">
        <f>HYPERLINK("http://www.centcols.org/util/geo/visuGen.php?code=US-ID-2181a","US-ID-2181a")</f>
        <v>US-ID-2181a</v>
      </c>
      <c r="L262" s="8" t="s">
        <v>1170</v>
      </c>
      <c r="M262" s="8" t="s">
        <v>3222</v>
      </c>
      <c r="N262" s="8">
        <v>15</v>
      </c>
      <c r="O262" s="8">
        <v>99</v>
      </c>
      <c r="P262" s="8" t="s">
        <v>3338</v>
      </c>
      <c r="Q262" s="5">
        <v>-116.6001407</v>
      </c>
      <c r="R262" s="5">
        <v>45.2354374</v>
      </c>
      <c r="S262" s="5" t="s">
        <v>1171</v>
      </c>
      <c r="T262" s="5" t="s">
        <v>1172</v>
      </c>
      <c r="U262" s="8"/>
      <c r="V262" s="8" t="s">
        <v>1122</v>
      </c>
      <c r="W262" s="8" t="s">
        <v>2966</v>
      </c>
      <c r="X262" s="8" t="s">
        <v>1173</v>
      </c>
    </row>
    <row r="263" spans="1:24" ht="11.25">
      <c r="A263" s="5" t="s">
        <v>1174</v>
      </c>
      <c r="B263" s="5" t="s">
        <v>1175</v>
      </c>
      <c r="C263" s="6" t="s">
        <v>1176</v>
      </c>
      <c r="D263" s="6"/>
      <c r="E263" s="6"/>
      <c r="F263" s="5" t="s">
        <v>2513</v>
      </c>
      <c r="G263" s="5"/>
      <c r="H263" s="6" t="s">
        <v>1177</v>
      </c>
      <c r="I263" s="5">
        <v>2267</v>
      </c>
      <c r="J263" s="5">
        <v>7438</v>
      </c>
      <c r="K263" s="7" t="str">
        <f>HYPERLINK("http://www.centcols.org/util/geo/visuGen.php?code=US-ID-2267","US-ID-2267")</f>
        <v>US-ID-2267</v>
      </c>
      <c r="L263" s="8" t="s">
        <v>1178</v>
      </c>
      <c r="M263" s="9" t="s">
        <v>1179</v>
      </c>
      <c r="N263" s="8">
        <v>0</v>
      </c>
      <c r="O263" s="8">
        <v>0</v>
      </c>
      <c r="P263" s="8"/>
      <c r="Q263" s="5">
        <v>-111.5605196</v>
      </c>
      <c r="R263" s="5">
        <v>42.3646309</v>
      </c>
      <c r="S263" s="5" t="s">
        <v>1180</v>
      </c>
      <c r="T263" s="5" t="s">
        <v>1181</v>
      </c>
      <c r="U263" s="8"/>
      <c r="V263" s="9"/>
      <c r="W263" s="8" t="s">
        <v>2966</v>
      </c>
      <c r="X263" s="8" t="s">
        <v>2548</v>
      </c>
    </row>
    <row r="264" spans="1:24" ht="11.25">
      <c r="A264" s="5" t="s">
        <v>1182</v>
      </c>
      <c r="B264" s="5" t="s">
        <v>1183</v>
      </c>
      <c r="C264" s="6" t="s">
        <v>1184</v>
      </c>
      <c r="D264" s="6"/>
      <c r="E264" s="6"/>
      <c r="F264" s="5" t="s">
        <v>2513</v>
      </c>
      <c r="G264" s="5"/>
      <c r="H264" s="6" t="s">
        <v>2537</v>
      </c>
      <c r="I264" s="5">
        <v>2317</v>
      </c>
      <c r="J264" s="5">
        <v>7602</v>
      </c>
      <c r="K264" s="7" t="str">
        <f>HYPERLINK("http://www.centcols.org/util/geo/visuGen.php?code=US-ID-2317","US-ID-2317")</f>
        <v>US-ID-2317</v>
      </c>
      <c r="L264" s="8" t="s">
        <v>1185</v>
      </c>
      <c r="M264" s="8" t="s">
        <v>3222</v>
      </c>
      <c r="N264" s="8">
        <v>15</v>
      </c>
      <c r="O264" s="8">
        <v>99</v>
      </c>
      <c r="P264" s="8" t="s">
        <v>3338</v>
      </c>
      <c r="Q264" s="5">
        <v>-115.3622189</v>
      </c>
      <c r="R264" s="5">
        <v>45.3841705</v>
      </c>
      <c r="S264" s="5" t="s">
        <v>1186</v>
      </c>
      <c r="T264" s="5" t="s">
        <v>1187</v>
      </c>
      <c r="U264" s="8"/>
      <c r="V264" s="8" t="s">
        <v>1188</v>
      </c>
      <c r="W264" s="8" t="s">
        <v>2966</v>
      </c>
      <c r="X264" s="8" t="s">
        <v>2967</v>
      </c>
    </row>
    <row r="265" spans="1:24" ht="11.25">
      <c r="A265" s="5" t="s">
        <v>1189</v>
      </c>
      <c r="B265" s="5" t="s">
        <v>1190</v>
      </c>
      <c r="C265" s="6" t="s">
        <v>1191</v>
      </c>
      <c r="D265" s="6"/>
      <c r="E265" s="6"/>
      <c r="F265" s="5" t="s">
        <v>2513</v>
      </c>
      <c r="G265" s="5"/>
      <c r="H265" s="6" t="s">
        <v>1192</v>
      </c>
      <c r="I265" s="5">
        <v>2411</v>
      </c>
      <c r="J265" s="5">
        <v>7910</v>
      </c>
      <c r="K265" s="7" t="str">
        <f>HYPERLINK("http://www.centcols.org/util/geo/visuGen.php?code=US-ID-2411","US-ID-2411")</f>
        <v>US-ID-2411</v>
      </c>
      <c r="L265" s="8" t="s">
        <v>1193</v>
      </c>
      <c r="M265" s="8" t="s">
        <v>2962</v>
      </c>
      <c r="N265" s="8">
        <v>20</v>
      </c>
      <c r="O265" s="8">
        <v>99</v>
      </c>
      <c r="P265" s="8"/>
      <c r="Q265" s="5">
        <v>-115.5101141</v>
      </c>
      <c r="R265" s="5">
        <v>44.9826842</v>
      </c>
      <c r="S265" s="5" t="s">
        <v>1194</v>
      </c>
      <c r="T265" s="5" t="s">
        <v>1195</v>
      </c>
      <c r="U265" s="8"/>
      <c r="V265" s="8"/>
      <c r="W265" s="8" t="s">
        <v>2966</v>
      </c>
      <c r="X265" s="8" t="s">
        <v>1173</v>
      </c>
    </row>
    <row r="266" spans="1:24" ht="11.25">
      <c r="A266" s="5" t="s">
        <v>1196</v>
      </c>
      <c r="B266" s="5" t="s">
        <v>1197</v>
      </c>
      <c r="C266" s="6" t="s">
        <v>1198</v>
      </c>
      <c r="D266" s="6"/>
      <c r="E266" s="6"/>
      <c r="F266" s="5" t="s">
        <v>2513</v>
      </c>
      <c r="G266" s="5"/>
      <c r="H266" s="6" t="s">
        <v>3889</v>
      </c>
      <c r="I266" s="5">
        <v>2662</v>
      </c>
      <c r="J266" s="5">
        <v>8733</v>
      </c>
      <c r="K266" s="7" t="str">
        <f>HYPERLINK("http://www.centcols.org/util/geo/visuGen.php?code=US-ID-2662","US-ID-2662")</f>
        <v>US-ID-2662</v>
      </c>
      <c r="L266" s="8" t="s">
        <v>1199</v>
      </c>
      <c r="M266" s="8" t="s">
        <v>2988</v>
      </c>
      <c r="N266" s="8">
        <v>10</v>
      </c>
      <c r="O266" s="8">
        <v>35</v>
      </c>
      <c r="P266" s="8"/>
      <c r="Q266" s="5">
        <v>-113.7955494</v>
      </c>
      <c r="R266" s="5">
        <v>43.9055912</v>
      </c>
      <c r="S266" s="5" t="s">
        <v>1200</v>
      </c>
      <c r="T266" s="5" t="s">
        <v>1201</v>
      </c>
      <c r="U266" s="8"/>
      <c r="V266" s="8"/>
      <c r="W266" s="8" t="s">
        <v>2966</v>
      </c>
      <c r="X266" s="8" t="s">
        <v>1202</v>
      </c>
    </row>
    <row r="267" spans="1:24" ht="11.25">
      <c r="A267" s="5" t="s">
        <v>1203</v>
      </c>
      <c r="B267" s="5" t="s">
        <v>1204</v>
      </c>
      <c r="C267" s="6" t="s">
        <v>1205</v>
      </c>
      <c r="D267" s="6"/>
      <c r="E267" s="6"/>
      <c r="F267" s="5" t="s">
        <v>2513</v>
      </c>
      <c r="G267" s="5"/>
      <c r="H267" s="6" t="s">
        <v>3889</v>
      </c>
      <c r="I267" s="5">
        <v>3061</v>
      </c>
      <c r="J267" s="5">
        <v>10043</v>
      </c>
      <c r="K267" s="7" t="str">
        <f>HYPERLINK("http://www.centcols.org/util/geo/visuGen.php?code=US-ID-3061","US-ID-3061")</f>
        <v>US-ID-3061</v>
      </c>
      <c r="L267" s="8" t="s">
        <v>1206</v>
      </c>
      <c r="M267" s="8" t="s">
        <v>3222</v>
      </c>
      <c r="N267" s="8">
        <v>15</v>
      </c>
      <c r="O267" s="8">
        <v>99</v>
      </c>
      <c r="P267" s="8" t="s">
        <v>3338</v>
      </c>
      <c r="Q267" s="5">
        <v>-114.5954884</v>
      </c>
      <c r="R267" s="5">
        <v>44.0703224</v>
      </c>
      <c r="S267" s="5" t="s">
        <v>1207</v>
      </c>
      <c r="T267" s="5" t="s">
        <v>1208</v>
      </c>
      <c r="U267" s="8"/>
      <c r="V267" s="8" t="s">
        <v>1209</v>
      </c>
      <c r="W267" s="8" t="s">
        <v>2966</v>
      </c>
      <c r="X267" s="8" t="s">
        <v>2967</v>
      </c>
    </row>
    <row r="268" spans="1:24" ht="11.25">
      <c r="A268" s="5" t="s">
        <v>1210</v>
      </c>
      <c r="B268" s="5" t="s">
        <v>1211</v>
      </c>
      <c r="C268" s="6" t="s">
        <v>1212</v>
      </c>
      <c r="D268" s="6"/>
      <c r="E268" s="6"/>
      <c r="F268" s="5" t="s">
        <v>2513</v>
      </c>
      <c r="G268" s="5"/>
      <c r="H268" s="6" t="s">
        <v>3889</v>
      </c>
      <c r="I268" s="5">
        <v>3152</v>
      </c>
      <c r="J268" s="5">
        <v>10341</v>
      </c>
      <c r="K268" s="7" t="str">
        <f>HYPERLINK("http://www.centcols.org/util/geo/visuGen.php?code=US-ID-3152","US-ID-3152")</f>
        <v>US-ID-3152</v>
      </c>
      <c r="L268" s="8" t="s">
        <v>1213</v>
      </c>
      <c r="M268" s="8" t="s">
        <v>2962</v>
      </c>
      <c r="N268" s="8">
        <v>20</v>
      </c>
      <c r="O268" s="8">
        <v>99</v>
      </c>
      <c r="P268" s="8" t="s">
        <v>3338</v>
      </c>
      <c r="Q268" s="5">
        <v>-114.606065</v>
      </c>
      <c r="R268" s="5">
        <v>44.1292733</v>
      </c>
      <c r="S268" s="5" t="s">
        <v>1214</v>
      </c>
      <c r="T268" s="5" t="s">
        <v>1215</v>
      </c>
      <c r="U268" s="8"/>
      <c r="V268" s="8" t="s">
        <v>1216</v>
      </c>
      <c r="W268" s="8" t="s">
        <v>2966</v>
      </c>
      <c r="X268" s="8" t="s">
        <v>2967</v>
      </c>
    </row>
    <row r="269" spans="1:24" ht="11.25">
      <c r="A269" s="5" t="s">
        <v>1217</v>
      </c>
      <c r="B269" s="5" t="s">
        <v>1218</v>
      </c>
      <c r="C269" s="6" t="s">
        <v>3079</v>
      </c>
      <c r="D269" s="6"/>
      <c r="E269" s="6"/>
      <c r="F269" s="5" t="s">
        <v>1219</v>
      </c>
      <c r="G269" s="5"/>
      <c r="H269" s="6" t="s">
        <v>1220</v>
      </c>
      <c r="I269" s="5">
        <v>149</v>
      </c>
      <c r="J269" s="5">
        <v>489</v>
      </c>
      <c r="K269" s="7" t="str">
        <f>HYPERLINK("http://www.centcols.org/util/geo/visuGen.php?code=US-IN-0149","US-IN-0149")</f>
        <v>US-IN-0149</v>
      </c>
      <c r="L269" s="8" t="s">
        <v>1221</v>
      </c>
      <c r="M269" s="8" t="s">
        <v>2962</v>
      </c>
      <c r="N269" s="8">
        <v>20</v>
      </c>
      <c r="O269" s="8">
        <v>99</v>
      </c>
      <c r="P269" s="8"/>
      <c r="Q269" s="5">
        <v>-86.0394433</v>
      </c>
      <c r="R269" s="5">
        <v>37.9747229</v>
      </c>
      <c r="S269" s="5" t="s">
        <v>1222</v>
      </c>
      <c r="T269" s="5" t="s">
        <v>1223</v>
      </c>
      <c r="U269" s="8"/>
      <c r="V269" s="8"/>
      <c r="W269" s="8" t="s">
        <v>2966</v>
      </c>
      <c r="X269" s="8" t="s">
        <v>2991</v>
      </c>
    </row>
    <row r="270" spans="1:24" ht="11.25">
      <c r="A270" s="5" t="s">
        <v>1224</v>
      </c>
      <c r="B270" s="5" t="s">
        <v>1225</v>
      </c>
      <c r="C270" s="6" t="s">
        <v>1226</v>
      </c>
      <c r="D270" s="6"/>
      <c r="E270" s="6"/>
      <c r="F270" s="5" t="s">
        <v>1227</v>
      </c>
      <c r="G270" s="5"/>
      <c r="H270" s="6" t="s">
        <v>1228</v>
      </c>
      <c r="I270" s="5">
        <v>207</v>
      </c>
      <c r="J270" s="5">
        <v>679</v>
      </c>
      <c r="K270" s="7" t="str">
        <f>HYPERLINK("http://www.centcols.org/util/geo/visuGen.php?code=US-KY-0207","US-KY-0207")</f>
        <v>US-KY-0207</v>
      </c>
      <c r="L270" s="8" t="s">
        <v>1229</v>
      </c>
      <c r="M270" s="9" t="s">
        <v>1230</v>
      </c>
      <c r="N270" s="8">
        <v>0</v>
      </c>
      <c r="O270" s="8">
        <v>0</v>
      </c>
      <c r="P270" s="8"/>
      <c r="Q270" s="5">
        <v>-83.0897191</v>
      </c>
      <c r="R270" s="5">
        <v>38.1661108</v>
      </c>
      <c r="S270" s="5" t="s">
        <v>1231</v>
      </c>
      <c r="T270" s="5" t="s">
        <v>1232</v>
      </c>
      <c r="U270" s="8"/>
      <c r="V270" s="8"/>
      <c r="W270" s="8" t="s">
        <v>2966</v>
      </c>
      <c r="X270" s="8" t="s">
        <v>2386</v>
      </c>
    </row>
    <row r="271" spans="1:24" ht="11.25">
      <c r="A271" s="5" t="s">
        <v>1233</v>
      </c>
      <c r="B271" s="5" t="s">
        <v>1234</v>
      </c>
      <c r="C271" s="6" t="s">
        <v>3134</v>
      </c>
      <c r="D271" s="6"/>
      <c r="E271" s="6"/>
      <c r="F271" s="5" t="s">
        <v>1227</v>
      </c>
      <c r="G271" s="5"/>
      <c r="H271" s="6" t="s">
        <v>1235</v>
      </c>
      <c r="I271" s="5">
        <v>214</v>
      </c>
      <c r="J271" s="5">
        <v>702</v>
      </c>
      <c r="K271" s="7" t="str">
        <f>HYPERLINK("http://www.centcols.org/util/geo/visuGen.php?code=US-KY-0214","US-KY-0214")</f>
        <v>US-KY-0214</v>
      </c>
      <c r="L271" s="8" t="s">
        <v>1236</v>
      </c>
      <c r="M271" s="9" t="s">
        <v>1237</v>
      </c>
      <c r="N271" s="8">
        <v>0</v>
      </c>
      <c r="O271" s="8">
        <v>0</v>
      </c>
      <c r="P271" s="8"/>
      <c r="Q271" s="5">
        <v>-85.1313479</v>
      </c>
      <c r="R271" s="5">
        <v>37.5014586</v>
      </c>
      <c r="S271" s="5" t="s">
        <v>1238</v>
      </c>
      <c r="T271" s="5" t="s">
        <v>1239</v>
      </c>
      <c r="U271" s="8"/>
      <c r="V271" s="8"/>
      <c r="W271" s="8" t="s">
        <v>2966</v>
      </c>
      <c r="X271" s="8" t="s">
        <v>1240</v>
      </c>
    </row>
    <row r="272" spans="1:24" ht="11.25">
      <c r="A272" s="5" t="s">
        <v>1241</v>
      </c>
      <c r="B272" s="5" t="s">
        <v>1242</v>
      </c>
      <c r="C272" s="6" t="s">
        <v>1243</v>
      </c>
      <c r="D272" s="6"/>
      <c r="E272" s="6"/>
      <c r="F272" s="5" t="s">
        <v>1227</v>
      </c>
      <c r="G272" s="5"/>
      <c r="H272" s="6" t="s">
        <v>1244</v>
      </c>
      <c r="I272" s="5">
        <v>308</v>
      </c>
      <c r="J272" s="5">
        <v>1010</v>
      </c>
      <c r="K272" s="7" t="str">
        <f>HYPERLINK("http://www.centcols.org/util/geo/visuGen.php?code=US-KY-0308a","US-KY-0308a")</f>
        <v>US-KY-0308a</v>
      </c>
      <c r="L272" s="8" t="s">
        <v>1245</v>
      </c>
      <c r="M272" s="9" t="s">
        <v>1246</v>
      </c>
      <c r="N272" s="8">
        <v>0</v>
      </c>
      <c r="O272" s="8">
        <v>0</v>
      </c>
      <c r="P272" s="8"/>
      <c r="Q272" s="5">
        <v>-83.2010415</v>
      </c>
      <c r="R272" s="5">
        <v>38.4566641</v>
      </c>
      <c r="S272" s="5" t="s">
        <v>1247</v>
      </c>
      <c r="T272" s="5" t="s">
        <v>1248</v>
      </c>
      <c r="U272" s="8"/>
      <c r="V272" s="8"/>
      <c r="W272" s="8" t="s">
        <v>2966</v>
      </c>
      <c r="X272" s="8" t="s">
        <v>1249</v>
      </c>
    </row>
    <row r="273" spans="1:24" ht="11.25">
      <c r="A273" s="5" t="s">
        <v>1250</v>
      </c>
      <c r="B273" s="5" t="s">
        <v>1251</v>
      </c>
      <c r="C273" s="6" t="s">
        <v>1252</v>
      </c>
      <c r="D273" s="6"/>
      <c r="E273" s="6"/>
      <c r="F273" s="5" t="s">
        <v>1227</v>
      </c>
      <c r="G273" s="5"/>
      <c r="H273" s="6" t="s">
        <v>1253</v>
      </c>
      <c r="I273" s="5">
        <v>312</v>
      </c>
      <c r="J273" s="5">
        <v>1024</v>
      </c>
      <c r="K273" s="7" t="str">
        <f>HYPERLINK("http://www.centcols.org/util/geo/visuGen.php?code=US-KY-0312","US-KY-0312")</f>
        <v>US-KY-0312</v>
      </c>
      <c r="L273" s="8" t="s">
        <v>1254</v>
      </c>
      <c r="M273" s="9" t="s">
        <v>1255</v>
      </c>
      <c r="N273" s="8">
        <v>0</v>
      </c>
      <c r="O273" s="8">
        <v>0</v>
      </c>
      <c r="P273" s="8"/>
      <c r="Q273" s="5">
        <v>-85.133409</v>
      </c>
      <c r="R273" s="5">
        <v>36.729781</v>
      </c>
      <c r="S273" s="5" t="s">
        <v>1256</v>
      </c>
      <c r="T273" s="5" t="s">
        <v>1257</v>
      </c>
      <c r="U273" s="8"/>
      <c r="V273" s="8"/>
      <c r="W273" s="8" t="s">
        <v>2966</v>
      </c>
      <c r="X273" s="8" t="s">
        <v>3202</v>
      </c>
    </row>
    <row r="274" spans="1:24" ht="11.25">
      <c r="A274" s="5" t="s">
        <v>1258</v>
      </c>
      <c r="B274" s="5" t="s">
        <v>1259</v>
      </c>
      <c r="C274" s="6" t="s">
        <v>1260</v>
      </c>
      <c r="D274" s="6"/>
      <c r="E274" s="6"/>
      <c r="F274" s="5" t="s">
        <v>1227</v>
      </c>
      <c r="G274" s="5"/>
      <c r="H274" s="6" t="s">
        <v>1261</v>
      </c>
      <c r="I274" s="5">
        <v>344</v>
      </c>
      <c r="J274" s="5">
        <v>1129</v>
      </c>
      <c r="K274" s="7" t="str">
        <f>HYPERLINK("http://www.centcols.org/util/geo/visuGen.php?code=US-KY-0344","US-KY-0344")</f>
        <v>US-KY-0344</v>
      </c>
      <c r="L274" s="8" t="s">
        <v>1262</v>
      </c>
      <c r="M274" s="8" t="s">
        <v>2962</v>
      </c>
      <c r="N274" s="8">
        <v>20</v>
      </c>
      <c r="O274" s="8">
        <v>99</v>
      </c>
      <c r="P274" s="8"/>
      <c r="Q274" s="5">
        <v>-84.5186774</v>
      </c>
      <c r="R274" s="5">
        <v>36.8446022</v>
      </c>
      <c r="S274" s="5" t="s">
        <v>1263</v>
      </c>
      <c r="T274" s="5" t="s">
        <v>1264</v>
      </c>
      <c r="U274" s="8"/>
      <c r="V274" s="8"/>
      <c r="W274" s="8" t="s">
        <v>2966</v>
      </c>
      <c r="X274" s="8" t="s">
        <v>2967</v>
      </c>
    </row>
    <row r="275" spans="1:24" ht="11.25">
      <c r="A275" s="5" t="s">
        <v>1265</v>
      </c>
      <c r="B275" s="5" t="s">
        <v>1266</v>
      </c>
      <c r="C275" s="6" t="s">
        <v>1267</v>
      </c>
      <c r="D275" s="6"/>
      <c r="E275" s="6"/>
      <c r="F275" s="5" t="s">
        <v>1227</v>
      </c>
      <c r="G275" s="5"/>
      <c r="H275" s="6" t="s">
        <v>1261</v>
      </c>
      <c r="I275" s="5">
        <v>380</v>
      </c>
      <c r="J275" s="5">
        <v>1247</v>
      </c>
      <c r="K275" s="7" t="str">
        <f>HYPERLINK("http://www.centcols.org/util/geo/visuGen.php?code=US-KY-0380","US-KY-0380")</f>
        <v>US-KY-0380</v>
      </c>
      <c r="L275" s="8" t="s">
        <v>1262</v>
      </c>
      <c r="M275" s="9" t="s">
        <v>1268</v>
      </c>
      <c r="N275" s="8">
        <v>0</v>
      </c>
      <c r="O275" s="8">
        <v>0</v>
      </c>
      <c r="P275" s="8"/>
      <c r="Q275" s="5">
        <v>-84.5306694</v>
      </c>
      <c r="R275" s="5">
        <v>36.8394605</v>
      </c>
      <c r="S275" s="5" t="s">
        <v>1269</v>
      </c>
      <c r="T275" s="5" t="s">
        <v>1270</v>
      </c>
      <c r="U275" s="8"/>
      <c r="V275" s="8"/>
      <c r="W275" s="8" t="s">
        <v>2966</v>
      </c>
      <c r="X275" s="8" t="s">
        <v>2967</v>
      </c>
    </row>
    <row r="276" spans="1:24" ht="11.25">
      <c r="A276" s="5" t="s">
        <v>1271</v>
      </c>
      <c r="B276" s="5" t="s">
        <v>1272</v>
      </c>
      <c r="C276" s="6" t="s">
        <v>1273</v>
      </c>
      <c r="D276" s="6"/>
      <c r="E276" s="6"/>
      <c r="F276" s="5" t="s">
        <v>1227</v>
      </c>
      <c r="G276" s="5"/>
      <c r="H276" s="6" t="s">
        <v>1274</v>
      </c>
      <c r="I276" s="5">
        <v>429</v>
      </c>
      <c r="J276" s="5">
        <v>1407</v>
      </c>
      <c r="K276" s="7" t="str">
        <f>HYPERLINK("http://www.centcols.org/util/geo/visuGen.php?code=US-KY-0429","US-KY-0429")</f>
        <v>US-KY-0429</v>
      </c>
      <c r="L276" s="8" t="s">
        <v>1275</v>
      </c>
      <c r="M276" s="8"/>
      <c r="N276" s="8">
        <v>20</v>
      </c>
      <c r="O276" s="8">
        <v>99</v>
      </c>
      <c r="P276" s="8"/>
      <c r="Q276" s="5">
        <v>-84.217778</v>
      </c>
      <c r="R276" s="5">
        <v>37.393889</v>
      </c>
      <c r="S276" s="5" t="s">
        <v>1276</v>
      </c>
      <c r="T276" s="5" t="s">
        <v>1277</v>
      </c>
      <c r="U276" s="8"/>
      <c r="V276" s="8"/>
      <c r="W276" s="8" t="s">
        <v>2966</v>
      </c>
      <c r="X276" s="8" t="s">
        <v>3011</v>
      </c>
    </row>
    <row r="277" spans="1:24" ht="11.25">
      <c r="A277" s="5" t="s">
        <v>1278</v>
      </c>
      <c r="B277" s="5" t="s">
        <v>1279</v>
      </c>
      <c r="C277" s="6" t="s">
        <v>1280</v>
      </c>
      <c r="D277" s="6"/>
      <c r="E277" s="6"/>
      <c r="F277" s="5" t="s">
        <v>1227</v>
      </c>
      <c r="G277" s="5"/>
      <c r="H277" s="6" t="s">
        <v>1281</v>
      </c>
      <c r="I277" s="5">
        <v>598</v>
      </c>
      <c r="J277" s="5">
        <v>1962</v>
      </c>
      <c r="K277" s="7" t="str">
        <f>HYPERLINK("http://www.centcols.org/util/geo/visuGen.php?code=US-KY-0598a","US-KY-0598a")</f>
        <v>US-KY-0598a</v>
      </c>
      <c r="L277" s="8" t="s">
        <v>1282</v>
      </c>
      <c r="M277" s="8" t="s">
        <v>2988</v>
      </c>
      <c r="N277" s="8">
        <v>10</v>
      </c>
      <c r="O277" s="8">
        <v>35</v>
      </c>
      <c r="P277" s="8"/>
      <c r="Q277" s="5">
        <v>-83.1462824</v>
      </c>
      <c r="R277" s="5">
        <v>36.9092573</v>
      </c>
      <c r="S277" s="5" t="s">
        <v>1283</v>
      </c>
      <c r="T277" s="5" t="s">
        <v>1284</v>
      </c>
      <c r="U277" s="8"/>
      <c r="V277" s="8"/>
      <c r="W277" s="8" t="s">
        <v>2966</v>
      </c>
      <c r="X277" s="8" t="s">
        <v>1285</v>
      </c>
    </row>
    <row r="278" spans="1:24" ht="11.25">
      <c r="A278" s="5" t="s">
        <v>1286</v>
      </c>
      <c r="B278" s="5" t="s">
        <v>1287</v>
      </c>
      <c r="C278" s="6" t="s">
        <v>1288</v>
      </c>
      <c r="D278" s="6"/>
      <c r="E278" s="6"/>
      <c r="F278" s="5" t="s">
        <v>1227</v>
      </c>
      <c r="G278" s="5" t="s">
        <v>1289</v>
      </c>
      <c r="H278" s="6" t="s">
        <v>1281</v>
      </c>
      <c r="I278" s="5">
        <v>782</v>
      </c>
      <c r="J278" s="5">
        <v>2566</v>
      </c>
      <c r="K278" s="7" t="str">
        <f>HYPERLINK("http://www.centcols.org/util/geo/visuGen.php?code=US-KY-0782","US-KY-0782")</f>
        <v>US-KY-0782</v>
      </c>
      <c r="L278" s="8" t="s">
        <v>1290</v>
      </c>
      <c r="M278" s="8" t="s">
        <v>2988</v>
      </c>
      <c r="N278" s="8">
        <v>10</v>
      </c>
      <c r="O278" s="8">
        <v>35</v>
      </c>
      <c r="P278" s="8"/>
      <c r="Q278" s="5">
        <v>-83.3952792</v>
      </c>
      <c r="R278" s="5">
        <v>36.678061</v>
      </c>
      <c r="S278" s="5" t="s">
        <v>1291</v>
      </c>
      <c r="T278" s="5" t="s">
        <v>1292</v>
      </c>
      <c r="U278" s="8"/>
      <c r="V278" s="8"/>
      <c r="W278" s="8" t="s">
        <v>2966</v>
      </c>
      <c r="X278" s="8" t="s">
        <v>2548</v>
      </c>
    </row>
    <row r="279" spans="1:24" ht="11.25">
      <c r="A279" s="5" t="s">
        <v>1293</v>
      </c>
      <c r="B279" s="5" t="s">
        <v>1294</v>
      </c>
      <c r="C279" s="6" t="s">
        <v>1295</v>
      </c>
      <c r="D279" s="6"/>
      <c r="E279" s="6"/>
      <c r="F279" s="5" t="s">
        <v>1227</v>
      </c>
      <c r="G279" s="5"/>
      <c r="H279" s="6" t="s">
        <v>1296</v>
      </c>
      <c r="I279" s="5">
        <v>856</v>
      </c>
      <c r="J279" s="5">
        <v>2808</v>
      </c>
      <c r="K279" s="7" t="str">
        <f>HYPERLINK("http://www.centcols.org/util/geo/visuGen.php?code=US-KY-0856a","US-KY-0856a")</f>
        <v>US-KY-0856a</v>
      </c>
      <c r="L279" s="8" t="s">
        <v>1297</v>
      </c>
      <c r="M279" s="8"/>
      <c r="N279" s="8">
        <v>15</v>
      </c>
      <c r="O279" s="8">
        <v>99</v>
      </c>
      <c r="P279" s="8"/>
      <c r="Q279" s="5">
        <v>-83.604167</v>
      </c>
      <c r="R279" s="5">
        <v>36.637222</v>
      </c>
      <c r="S279" s="5" t="s">
        <v>1298</v>
      </c>
      <c r="T279" s="5" t="s">
        <v>1299</v>
      </c>
      <c r="U279" s="8"/>
      <c r="V279" s="8"/>
      <c r="W279" s="8" t="s">
        <v>2966</v>
      </c>
      <c r="X279" s="8" t="s">
        <v>3011</v>
      </c>
    </row>
    <row r="280" spans="1:24" ht="11.25">
      <c r="A280" s="5" t="s">
        <v>1300</v>
      </c>
      <c r="B280" s="5" t="s">
        <v>1301</v>
      </c>
      <c r="C280" s="6" t="s">
        <v>1302</v>
      </c>
      <c r="D280" s="6"/>
      <c r="E280" s="6"/>
      <c r="F280" s="5" t="s">
        <v>1227</v>
      </c>
      <c r="G280" s="5" t="s">
        <v>1289</v>
      </c>
      <c r="H280" s="6" t="s">
        <v>1303</v>
      </c>
      <c r="I280" s="5">
        <v>929</v>
      </c>
      <c r="J280" s="5">
        <v>3048</v>
      </c>
      <c r="K280" s="7" t="str">
        <f>HYPERLINK("http://www.centcols.org/util/geo/visuGen.php?code=US-KY-0929","US-KY-0929")</f>
        <v>US-KY-0929</v>
      </c>
      <c r="L280" s="8" t="s">
        <v>1304</v>
      </c>
      <c r="M280" s="8" t="s">
        <v>1305</v>
      </c>
      <c r="N280" s="8">
        <v>20</v>
      </c>
      <c r="O280" s="8">
        <v>99</v>
      </c>
      <c r="P280" s="8"/>
      <c r="Q280" s="5">
        <v>-82.456669</v>
      </c>
      <c r="R280" s="5">
        <v>37.238611</v>
      </c>
      <c r="S280" s="5" t="s">
        <v>1306</v>
      </c>
      <c r="T280" s="5" t="s">
        <v>1307</v>
      </c>
      <c r="U280" s="8"/>
      <c r="V280" s="8"/>
      <c r="W280" s="8" t="s">
        <v>2966</v>
      </c>
      <c r="X280" s="8" t="s">
        <v>1308</v>
      </c>
    </row>
    <row r="281" spans="1:24" ht="11.25">
      <c r="A281" s="5" t="s">
        <v>1309</v>
      </c>
      <c r="B281" s="5" t="s">
        <v>1310</v>
      </c>
      <c r="C281" s="6" t="s">
        <v>3079</v>
      </c>
      <c r="D281" s="6"/>
      <c r="E281" s="6"/>
      <c r="F281" s="5" t="s">
        <v>1227</v>
      </c>
      <c r="G281" s="5"/>
      <c r="H281" s="6" t="s">
        <v>1281</v>
      </c>
      <c r="I281" s="5">
        <v>1024</v>
      </c>
      <c r="J281" s="5">
        <v>3360</v>
      </c>
      <c r="K281" s="7" t="str">
        <f>HYPERLINK("http://www.centcols.org/util/geo/visuGen.php?code=US-KY-1024","US-KY-1024")</f>
        <v>US-KY-1024</v>
      </c>
      <c r="L281" s="8" t="s">
        <v>1311</v>
      </c>
      <c r="M281" s="8" t="s">
        <v>2988</v>
      </c>
      <c r="N281" s="8">
        <v>10</v>
      </c>
      <c r="O281" s="8">
        <v>35</v>
      </c>
      <c r="P281" s="8"/>
      <c r="Q281" s="5">
        <v>-82.878092</v>
      </c>
      <c r="R281" s="5">
        <v>36.8905256</v>
      </c>
      <c r="S281" s="5" t="s">
        <v>1312</v>
      </c>
      <c r="T281" s="5" t="s">
        <v>1313</v>
      </c>
      <c r="U281" s="8"/>
      <c r="V281" s="8"/>
      <c r="W281" s="8" t="s">
        <v>2966</v>
      </c>
      <c r="X281" s="8" t="s">
        <v>2548</v>
      </c>
    </row>
    <row r="282" spans="1:24" ht="11.25">
      <c r="A282" s="5" t="s">
        <v>1314</v>
      </c>
      <c r="B282" s="5" t="s">
        <v>1315</v>
      </c>
      <c r="C282" s="6" t="s">
        <v>1316</v>
      </c>
      <c r="D282" s="6"/>
      <c r="E282" s="6"/>
      <c r="F282" s="5" t="s">
        <v>1227</v>
      </c>
      <c r="G282" s="5"/>
      <c r="H282" s="6" t="s">
        <v>1281</v>
      </c>
      <c r="I282" s="5">
        <v>1083</v>
      </c>
      <c r="J282" s="5">
        <v>3553</v>
      </c>
      <c r="K282" s="7" t="str">
        <f>HYPERLINK("http://www.centcols.org/util/geo/visuGen.php?code=US-KY-1083","US-KY-1083")</f>
        <v>US-KY-1083</v>
      </c>
      <c r="L282" s="8" t="s">
        <v>1317</v>
      </c>
      <c r="M282" s="8" t="s">
        <v>2988</v>
      </c>
      <c r="N282" s="8">
        <v>10</v>
      </c>
      <c r="O282" s="8">
        <v>35</v>
      </c>
      <c r="P282" s="8"/>
      <c r="Q282" s="5">
        <v>-82.9013647</v>
      </c>
      <c r="R282" s="5">
        <v>36.9123008</v>
      </c>
      <c r="S282" s="5" t="s">
        <v>1318</v>
      </c>
      <c r="T282" s="5" t="s">
        <v>1319</v>
      </c>
      <c r="U282" s="8"/>
      <c r="V282" s="8"/>
      <c r="W282" s="8" t="s">
        <v>2966</v>
      </c>
      <c r="X282" s="8" t="s">
        <v>1249</v>
      </c>
    </row>
    <row r="283" spans="1:24" ht="11.25">
      <c r="A283" s="5" t="s">
        <v>1320</v>
      </c>
      <c r="B283" s="5" t="s">
        <v>1321</v>
      </c>
      <c r="C283" s="6" t="s">
        <v>1267</v>
      </c>
      <c r="D283" s="6"/>
      <c r="E283" s="6"/>
      <c r="F283" s="5" t="s">
        <v>1322</v>
      </c>
      <c r="G283" s="5"/>
      <c r="H283" s="6" t="s">
        <v>1323</v>
      </c>
      <c r="I283" s="5">
        <v>376</v>
      </c>
      <c r="J283" s="5">
        <v>1234</v>
      </c>
      <c r="K283" s="7" t="str">
        <f>HYPERLINK("http://www.centcols.org/util/geo/visuGen.php?code=US-MA-0376","US-MA-0376")</f>
        <v>US-MA-0376</v>
      </c>
      <c r="L283" s="8" t="s">
        <v>1324</v>
      </c>
      <c r="M283" s="8" t="s">
        <v>3113</v>
      </c>
      <c r="N283" s="8">
        <v>10</v>
      </c>
      <c r="O283" s="8">
        <v>35</v>
      </c>
      <c r="P283" s="8"/>
      <c r="Q283" s="5">
        <v>-73.1848931</v>
      </c>
      <c r="R283" s="5">
        <v>42.4882698</v>
      </c>
      <c r="S283" s="5" t="s">
        <v>1325</v>
      </c>
      <c r="T283" s="5" t="s">
        <v>1326</v>
      </c>
      <c r="U283" s="8"/>
      <c r="V283" s="8"/>
      <c r="W283" s="8" t="s">
        <v>2966</v>
      </c>
      <c r="X283" s="8" t="s">
        <v>2967</v>
      </c>
    </row>
    <row r="284" spans="1:24" ht="11.25">
      <c r="A284" s="5" t="s">
        <v>1327</v>
      </c>
      <c r="B284" s="5" t="s">
        <v>1328</v>
      </c>
      <c r="C284" s="6" t="s">
        <v>1329</v>
      </c>
      <c r="D284" s="6"/>
      <c r="E284" s="6"/>
      <c r="F284" s="5" t="s">
        <v>1322</v>
      </c>
      <c r="G284" s="5"/>
      <c r="H284" s="6" t="s">
        <v>1323</v>
      </c>
      <c r="I284" s="5">
        <v>670</v>
      </c>
      <c r="J284" s="5">
        <v>2198</v>
      </c>
      <c r="K284" s="7" t="str">
        <f>HYPERLINK("http://www.centcols.org/util/geo/visuGen.php?code=US-MA-0670","US-MA-0670")</f>
        <v>US-MA-0670</v>
      </c>
      <c r="L284" s="8" t="s">
        <v>1330</v>
      </c>
      <c r="M284" s="8" t="s">
        <v>3222</v>
      </c>
      <c r="N284" s="8">
        <v>15</v>
      </c>
      <c r="O284" s="8">
        <v>99</v>
      </c>
      <c r="P284" s="8"/>
      <c r="Q284" s="5">
        <v>-73.1509805</v>
      </c>
      <c r="R284" s="5">
        <v>42.6442789</v>
      </c>
      <c r="S284" s="5" t="s">
        <v>1331</v>
      </c>
      <c r="T284" s="5" t="s">
        <v>1332</v>
      </c>
      <c r="U284" s="8"/>
      <c r="V284" s="8"/>
      <c r="W284" s="8" t="s">
        <v>2966</v>
      </c>
      <c r="X284" s="8" t="s">
        <v>2967</v>
      </c>
    </row>
    <row r="285" spans="1:24" ht="11.25">
      <c r="A285" s="5" t="s">
        <v>1333</v>
      </c>
      <c r="B285" s="5" t="s">
        <v>1334</v>
      </c>
      <c r="C285" s="6" t="s">
        <v>1335</v>
      </c>
      <c r="D285" s="6"/>
      <c r="E285" s="6"/>
      <c r="F285" s="5" t="s">
        <v>1336</v>
      </c>
      <c r="G285" s="5"/>
      <c r="H285" s="6" t="s">
        <v>1337</v>
      </c>
      <c r="I285" s="5">
        <v>370</v>
      </c>
      <c r="J285" s="5">
        <v>1214</v>
      </c>
      <c r="K285" s="7" t="str">
        <f>HYPERLINK("http://www.centcols.org/util/geo/visuGen.php?code=US-ME-0370","US-ME-0370")</f>
        <v>US-ME-0370</v>
      </c>
      <c r="L285" s="8" t="s">
        <v>1338</v>
      </c>
      <c r="M285" s="8" t="s">
        <v>3222</v>
      </c>
      <c r="N285" s="8">
        <v>15</v>
      </c>
      <c r="O285" s="8">
        <v>99</v>
      </c>
      <c r="P285" s="8"/>
      <c r="Q285" s="5">
        <v>-68.889229</v>
      </c>
      <c r="R285" s="5">
        <v>46.0548206</v>
      </c>
      <c r="S285" s="5" t="s">
        <v>1339</v>
      </c>
      <c r="T285" s="5" t="s">
        <v>1340</v>
      </c>
      <c r="U285" s="8"/>
      <c r="V285" s="8"/>
      <c r="W285" s="8" t="s">
        <v>2966</v>
      </c>
      <c r="X285" s="8" t="s">
        <v>1341</v>
      </c>
    </row>
    <row r="286" spans="1:24" ht="11.25">
      <c r="A286" s="5" t="s">
        <v>1342</v>
      </c>
      <c r="B286" s="5" t="s">
        <v>1343</v>
      </c>
      <c r="C286" s="6" t="s">
        <v>1344</v>
      </c>
      <c r="D286" s="6"/>
      <c r="E286" s="6"/>
      <c r="F286" s="5" t="s">
        <v>1336</v>
      </c>
      <c r="G286" s="5"/>
      <c r="H286" s="6" t="s">
        <v>1345</v>
      </c>
      <c r="I286" s="5">
        <v>443</v>
      </c>
      <c r="J286" s="5">
        <v>1453</v>
      </c>
      <c r="K286" s="7" t="str">
        <f>HYPERLINK("http://www.centcols.org/util/geo/visuGen.php?code=US-ME-0443","US-ME-0443")</f>
        <v>US-ME-0443</v>
      </c>
      <c r="L286" s="8" t="s">
        <v>1346</v>
      </c>
      <c r="M286" s="8" t="s">
        <v>2962</v>
      </c>
      <c r="N286" s="8">
        <v>20</v>
      </c>
      <c r="O286" s="8">
        <v>99</v>
      </c>
      <c r="P286" s="8"/>
      <c r="Q286" s="5">
        <v>-70.917609</v>
      </c>
      <c r="R286" s="5">
        <v>44.6561608</v>
      </c>
      <c r="S286" s="5" t="s">
        <v>1347</v>
      </c>
      <c r="T286" s="5" t="s">
        <v>1348</v>
      </c>
      <c r="U286" s="8"/>
      <c r="V286" s="8"/>
      <c r="W286" s="8" t="s">
        <v>2966</v>
      </c>
      <c r="X286" s="8" t="s">
        <v>2991</v>
      </c>
    </row>
    <row r="287" spans="1:24" ht="11.25">
      <c r="A287" s="5" t="s">
        <v>1349</v>
      </c>
      <c r="B287" s="5" t="s">
        <v>1350</v>
      </c>
      <c r="C287" s="6" t="s">
        <v>1351</v>
      </c>
      <c r="D287" s="6"/>
      <c r="E287" s="6"/>
      <c r="F287" s="5" t="s">
        <v>1352</v>
      </c>
      <c r="G287" s="5"/>
      <c r="H287" s="6" t="s">
        <v>1353</v>
      </c>
      <c r="I287" s="5">
        <v>285</v>
      </c>
      <c r="J287" s="5">
        <v>935</v>
      </c>
      <c r="K287" s="7" t="str">
        <f>HYPERLINK("http://www.centcols.org/util/geo/visuGen.php?code=US-MN-0285","US-MN-0285")</f>
        <v>US-MN-0285</v>
      </c>
      <c r="L287" s="8" t="s">
        <v>1354</v>
      </c>
      <c r="M287" s="8" t="s">
        <v>1355</v>
      </c>
      <c r="N287" s="8">
        <v>20</v>
      </c>
      <c r="O287" s="8">
        <v>99</v>
      </c>
      <c r="P287" s="8"/>
      <c r="Q287" s="5">
        <v>-89.7166659</v>
      </c>
      <c r="R287" s="5">
        <v>48.0141678</v>
      </c>
      <c r="S287" s="5" t="s">
        <v>1356</v>
      </c>
      <c r="T287" s="5" t="s">
        <v>1357</v>
      </c>
      <c r="U287" s="8"/>
      <c r="V287" s="8"/>
      <c r="W287" s="8" t="s">
        <v>2966</v>
      </c>
      <c r="X287" s="8" t="s">
        <v>1358</v>
      </c>
    </row>
    <row r="288" spans="1:24" ht="11.25">
      <c r="A288" s="5" t="s">
        <v>1359</v>
      </c>
      <c r="B288" s="5" t="s">
        <v>1360</v>
      </c>
      <c r="C288" s="6" t="s">
        <v>1361</v>
      </c>
      <c r="D288" s="6"/>
      <c r="E288" s="6"/>
      <c r="F288" s="5" t="s">
        <v>1362</v>
      </c>
      <c r="G288" s="5"/>
      <c r="H288" s="6" t="s">
        <v>1244</v>
      </c>
      <c r="I288" s="5">
        <v>976</v>
      </c>
      <c r="J288" s="5">
        <v>3202</v>
      </c>
      <c r="K288" s="7" t="str">
        <f>HYPERLINK("http://www.centcols.org/util/geo/visuGen.php?code=US-MT-0976","US-MT-0976")</f>
        <v>US-MT-0976</v>
      </c>
      <c r="L288" s="8" t="s">
        <v>1363</v>
      </c>
      <c r="M288" s="8" t="s">
        <v>3113</v>
      </c>
      <c r="N288" s="8">
        <v>10</v>
      </c>
      <c r="O288" s="8">
        <v>35</v>
      </c>
      <c r="P288" s="8"/>
      <c r="Q288" s="5">
        <v>-104.217449</v>
      </c>
      <c r="R288" s="5">
        <v>45.8779911</v>
      </c>
      <c r="S288" s="5" t="s">
        <v>1364</v>
      </c>
      <c r="T288" s="5" t="s">
        <v>1365</v>
      </c>
      <c r="U288" s="8"/>
      <c r="V288" s="8"/>
      <c r="W288" s="8" t="s">
        <v>2966</v>
      </c>
      <c r="X288" s="8" t="s">
        <v>2967</v>
      </c>
    </row>
    <row r="289" spans="1:24" ht="11.25">
      <c r="A289" s="5" t="s">
        <v>1366</v>
      </c>
      <c r="B289" s="5" t="s">
        <v>1367</v>
      </c>
      <c r="C289" s="6" t="s">
        <v>1368</v>
      </c>
      <c r="D289" s="6"/>
      <c r="E289" s="6"/>
      <c r="F289" s="5" t="s">
        <v>1362</v>
      </c>
      <c r="G289" s="5"/>
      <c r="H289" s="6" t="s">
        <v>1244</v>
      </c>
      <c r="I289" s="5">
        <v>1222</v>
      </c>
      <c r="J289" s="5">
        <v>4009</v>
      </c>
      <c r="K289" s="7" t="str">
        <f>HYPERLINK("http://www.centcols.org/util/geo/visuGen.php?code=US-MT-1222","US-MT-1222")</f>
        <v>US-MT-1222</v>
      </c>
      <c r="L289" s="8" t="s">
        <v>1369</v>
      </c>
      <c r="M289" s="8" t="s">
        <v>3222</v>
      </c>
      <c r="N289" s="8">
        <v>15</v>
      </c>
      <c r="O289" s="8">
        <v>99</v>
      </c>
      <c r="P289" s="8"/>
      <c r="Q289" s="5">
        <v>-104.2002792</v>
      </c>
      <c r="R289" s="5">
        <v>45.6970109</v>
      </c>
      <c r="S289" s="5" t="s">
        <v>1370</v>
      </c>
      <c r="T289" s="5" t="s">
        <v>1371</v>
      </c>
      <c r="U289" s="8"/>
      <c r="V289" s="8"/>
      <c r="W289" s="8" t="s">
        <v>2966</v>
      </c>
      <c r="X289" s="8" t="s">
        <v>3202</v>
      </c>
    </row>
    <row r="290" spans="1:24" ht="11.25">
      <c r="A290" s="5" t="s">
        <v>1372</v>
      </c>
      <c r="B290" s="5" t="s">
        <v>1373</v>
      </c>
      <c r="C290" s="6" t="s">
        <v>1374</v>
      </c>
      <c r="D290" s="6"/>
      <c r="E290" s="6"/>
      <c r="F290" s="5" t="s">
        <v>1362</v>
      </c>
      <c r="G290" s="5"/>
      <c r="H290" s="6" t="s">
        <v>3669</v>
      </c>
      <c r="I290" s="5">
        <v>1323</v>
      </c>
      <c r="J290" s="5">
        <v>4340</v>
      </c>
      <c r="K290" s="7" t="str">
        <f>HYPERLINK("http://www.centcols.org/util/geo/visuGen.php?code=US-MT-1323","US-MT-1323")</f>
        <v>US-MT-1323</v>
      </c>
      <c r="L290" s="8" t="s">
        <v>1375</v>
      </c>
      <c r="M290" s="8" t="s">
        <v>2988</v>
      </c>
      <c r="N290" s="8">
        <v>10</v>
      </c>
      <c r="O290" s="8">
        <v>35</v>
      </c>
      <c r="P290" s="8"/>
      <c r="Q290" s="5">
        <v>-111.072839</v>
      </c>
      <c r="R290" s="5">
        <v>47.2646109</v>
      </c>
      <c r="S290" s="5" t="s">
        <v>1376</v>
      </c>
      <c r="T290" s="5" t="s">
        <v>1377</v>
      </c>
      <c r="U290" s="8"/>
      <c r="V290" s="8"/>
      <c r="W290" s="8" t="s">
        <v>2966</v>
      </c>
      <c r="X290" s="8" t="s">
        <v>2967</v>
      </c>
    </row>
    <row r="291" spans="1:24" ht="11.25">
      <c r="A291" s="5" t="s">
        <v>1378</v>
      </c>
      <c r="B291" s="5" t="s">
        <v>1379</v>
      </c>
      <c r="C291" s="6" t="s">
        <v>1380</v>
      </c>
      <c r="D291" s="6"/>
      <c r="E291" s="6"/>
      <c r="F291" s="5" t="s">
        <v>1362</v>
      </c>
      <c r="G291" s="5"/>
      <c r="H291" s="6" t="s">
        <v>1381</v>
      </c>
      <c r="I291" s="5">
        <v>1498</v>
      </c>
      <c r="J291" s="5">
        <v>4915</v>
      </c>
      <c r="K291" s="7" t="str">
        <f>HYPERLINK("http://www.centcols.org/util/geo/visuGen.php?code=US-MT-1498","US-MT-1498")</f>
        <v>US-MT-1498</v>
      </c>
      <c r="L291" s="8" t="s">
        <v>1382</v>
      </c>
      <c r="M291" s="9" t="s">
        <v>1383</v>
      </c>
      <c r="N291" s="8">
        <v>0</v>
      </c>
      <c r="O291" s="8">
        <v>0</v>
      </c>
      <c r="P291" s="8"/>
      <c r="Q291" s="5">
        <v>-109.2763693</v>
      </c>
      <c r="R291" s="5">
        <v>45.8322807</v>
      </c>
      <c r="S291" s="5" t="s">
        <v>1384</v>
      </c>
      <c r="T291" s="5" t="s">
        <v>1385</v>
      </c>
      <c r="U291" s="8"/>
      <c r="V291" s="8"/>
      <c r="W291" s="8" t="s">
        <v>2966</v>
      </c>
      <c r="X291" s="8" t="s">
        <v>3202</v>
      </c>
    </row>
    <row r="292" spans="1:24" ht="11.25">
      <c r="A292" s="5" t="s">
        <v>1386</v>
      </c>
      <c r="B292" s="5" t="s">
        <v>1387</v>
      </c>
      <c r="C292" s="6" t="s">
        <v>1388</v>
      </c>
      <c r="D292" s="6"/>
      <c r="E292" s="6"/>
      <c r="F292" s="5" t="s">
        <v>1362</v>
      </c>
      <c r="G292" s="5"/>
      <c r="H292" s="6" t="s">
        <v>2979</v>
      </c>
      <c r="I292" s="5">
        <v>1532</v>
      </c>
      <c r="J292" s="5">
        <v>5026</v>
      </c>
      <c r="K292" s="7" t="str">
        <f>HYPERLINK("http://www.centcols.org/util/geo/visuGen.php?code=US-MT-1532","US-MT-1532")</f>
        <v>US-MT-1532</v>
      </c>
      <c r="L292" s="8" t="s">
        <v>1389</v>
      </c>
      <c r="M292" s="9" t="s">
        <v>1390</v>
      </c>
      <c r="N292" s="8">
        <v>0</v>
      </c>
      <c r="O292" s="8">
        <v>0</v>
      </c>
      <c r="P292" s="8"/>
      <c r="Q292" s="5">
        <v>-109.2918993</v>
      </c>
      <c r="R292" s="5">
        <v>45.3007506</v>
      </c>
      <c r="S292" s="5" t="s">
        <v>1391</v>
      </c>
      <c r="T292" s="5" t="s">
        <v>1392</v>
      </c>
      <c r="U292" s="8"/>
      <c r="V292" s="8"/>
      <c r="W292" s="8" t="s">
        <v>2966</v>
      </c>
      <c r="X292" s="8" t="s">
        <v>2967</v>
      </c>
    </row>
    <row r="293" spans="1:24" ht="11.25">
      <c r="A293" s="5" t="s">
        <v>1393</v>
      </c>
      <c r="B293" s="5" t="s">
        <v>1394</v>
      </c>
      <c r="C293" s="6" t="s">
        <v>1395</v>
      </c>
      <c r="D293" s="6"/>
      <c r="E293" s="6"/>
      <c r="F293" s="5" t="s">
        <v>1362</v>
      </c>
      <c r="G293" s="5"/>
      <c r="H293" s="6" t="s">
        <v>1396</v>
      </c>
      <c r="I293" s="5">
        <v>1606</v>
      </c>
      <c r="J293" s="5">
        <v>5269</v>
      </c>
      <c r="K293" s="7" t="str">
        <f>HYPERLINK("http://www.centcols.org/util/geo/visuGen.php?code=US-MT-1606","US-MT-1606")</f>
        <v>US-MT-1606</v>
      </c>
      <c r="L293" s="8" t="s">
        <v>1397</v>
      </c>
      <c r="M293" s="8" t="s">
        <v>2988</v>
      </c>
      <c r="N293" s="8">
        <v>10</v>
      </c>
      <c r="O293" s="8">
        <v>35</v>
      </c>
      <c r="P293" s="8"/>
      <c r="Q293" s="5">
        <v>-113.5078615</v>
      </c>
      <c r="R293" s="5">
        <v>46.6368719</v>
      </c>
      <c r="S293" s="5" t="s">
        <v>1398</v>
      </c>
      <c r="T293" s="5" t="s">
        <v>1399</v>
      </c>
      <c r="U293" s="8"/>
      <c r="V293" s="8"/>
      <c r="W293" s="8" t="s">
        <v>2966</v>
      </c>
      <c r="X293" s="8" t="s">
        <v>1400</v>
      </c>
    </row>
    <row r="294" spans="1:24" ht="11.25">
      <c r="A294" s="5" t="s">
        <v>1401</v>
      </c>
      <c r="B294" s="5" t="s">
        <v>1402</v>
      </c>
      <c r="C294" s="6" t="s">
        <v>1403</v>
      </c>
      <c r="D294" s="6"/>
      <c r="E294" s="6"/>
      <c r="F294" s="5" t="s">
        <v>1362</v>
      </c>
      <c r="G294" s="5"/>
      <c r="H294" s="6" t="s">
        <v>3994</v>
      </c>
      <c r="I294" s="5">
        <v>1710</v>
      </c>
      <c r="J294" s="5">
        <v>5610</v>
      </c>
      <c r="K294" s="7" t="str">
        <f>HYPERLINK("http://www.centcols.org/util/geo/visuGen.php?code=US-MT-1710","US-MT-1710")</f>
        <v>US-MT-1710</v>
      </c>
      <c r="L294" s="8" t="s">
        <v>1404</v>
      </c>
      <c r="M294" s="9" t="s">
        <v>1405</v>
      </c>
      <c r="N294" s="8">
        <v>0</v>
      </c>
      <c r="O294" s="8">
        <v>0</v>
      </c>
      <c r="P294" s="8"/>
      <c r="Q294" s="5">
        <v>-115.0834687</v>
      </c>
      <c r="R294" s="5">
        <v>47.0765894</v>
      </c>
      <c r="S294" s="5" t="s">
        <v>1406</v>
      </c>
      <c r="T294" s="5" t="s">
        <v>1407</v>
      </c>
      <c r="U294" s="8"/>
      <c r="V294" s="8"/>
      <c r="W294" s="8" t="s">
        <v>2966</v>
      </c>
      <c r="X294" s="8" t="s">
        <v>1400</v>
      </c>
    </row>
    <row r="295" spans="1:24" ht="11.25">
      <c r="A295" s="5" t="s">
        <v>1408</v>
      </c>
      <c r="B295" s="5" t="s">
        <v>1409</v>
      </c>
      <c r="C295" s="6" t="s">
        <v>1410</v>
      </c>
      <c r="D295" s="6"/>
      <c r="E295" s="6"/>
      <c r="F295" s="5" t="s">
        <v>1362</v>
      </c>
      <c r="G295" s="5"/>
      <c r="H295" s="6" t="s">
        <v>1411</v>
      </c>
      <c r="I295" s="5">
        <v>2002</v>
      </c>
      <c r="J295" s="5">
        <v>6568</v>
      </c>
      <c r="K295" s="7" t="str">
        <f>HYPERLINK("http://www.centcols.org/util/geo/visuGen.php?code=US-MT-2002","US-MT-2002")</f>
        <v>US-MT-2002</v>
      </c>
      <c r="L295" s="8" t="s">
        <v>1412</v>
      </c>
      <c r="M295" s="8" t="s">
        <v>2962</v>
      </c>
      <c r="N295" s="8">
        <v>20</v>
      </c>
      <c r="O295" s="8">
        <v>99</v>
      </c>
      <c r="P295" s="8"/>
      <c r="Q295" s="5">
        <v>-114.4883291</v>
      </c>
      <c r="R295" s="5">
        <v>45.7222212</v>
      </c>
      <c r="S295" s="5" t="s">
        <v>1413</v>
      </c>
      <c r="T295" s="5" t="s">
        <v>1414</v>
      </c>
      <c r="U295" s="8"/>
      <c r="V295" s="8"/>
      <c r="W295" s="8" t="s">
        <v>2966</v>
      </c>
      <c r="X295" s="8" t="s">
        <v>3011</v>
      </c>
    </row>
    <row r="296" spans="1:24" ht="11.25">
      <c r="A296" s="5" t="s">
        <v>1415</v>
      </c>
      <c r="B296" s="5" t="s">
        <v>1416</v>
      </c>
      <c r="C296" s="6" t="s">
        <v>1417</v>
      </c>
      <c r="D296" s="6"/>
      <c r="E296" s="6"/>
      <c r="F296" s="5" t="s">
        <v>1362</v>
      </c>
      <c r="G296" s="5"/>
      <c r="H296" s="6" t="s">
        <v>1396</v>
      </c>
      <c r="I296" s="5">
        <v>2131</v>
      </c>
      <c r="J296" s="5">
        <v>6991</v>
      </c>
      <c r="K296" s="7" t="str">
        <f>HYPERLINK("http://www.centcols.org/util/geo/visuGen.php?code=US-MT-2131","US-MT-2131")</f>
        <v>US-MT-2131</v>
      </c>
      <c r="L296" s="8" t="s">
        <v>1418</v>
      </c>
      <c r="M296" s="8" t="s">
        <v>3222</v>
      </c>
      <c r="N296" s="8">
        <v>15</v>
      </c>
      <c r="O296" s="8">
        <v>99</v>
      </c>
      <c r="P296" s="8" t="s">
        <v>3338</v>
      </c>
      <c r="Q296" s="5">
        <v>-113.7472198</v>
      </c>
      <c r="R296" s="5">
        <v>46.6080611</v>
      </c>
      <c r="S296" s="5" t="s">
        <v>1419</v>
      </c>
      <c r="T296" s="5" t="s">
        <v>1420</v>
      </c>
      <c r="U296" s="8"/>
      <c r="V296" s="8" t="s">
        <v>1421</v>
      </c>
      <c r="W296" s="8" t="s">
        <v>2966</v>
      </c>
      <c r="X296" s="8" t="s">
        <v>3011</v>
      </c>
    </row>
    <row r="297" spans="1:24" ht="11.25">
      <c r="A297" s="5" t="s">
        <v>1422</v>
      </c>
      <c r="B297" s="5" t="s">
        <v>1423</v>
      </c>
      <c r="C297" s="6" t="s">
        <v>1424</v>
      </c>
      <c r="D297" s="6"/>
      <c r="E297" s="6"/>
      <c r="F297" s="5" t="s">
        <v>1362</v>
      </c>
      <c r="G297" s="5"/>
      <c r="H297" s="6" t="s">
        <v>1396</v>
      </c>
      <c r="I297" s="5">
        <v>2558</v>
      </c>
      <c r="J297" s="5">
        <v>8392</v>
      </c>
      <c r="K297" s="7" t="str">
        <f>HYPERLINK("http://www.centcols.org/util/geo/visuGen.php?code=US-MT-2558","US-MT-2558")</f>
        <v>US-MT-2558</v>
      </c>
      <c r="L297" s="8" t="s">
        <v>1425</v>
      </c>
      <c r="M297" s="8" t="s">
        <v>2988</v>
      </c>
      <c r="N297" s="8">
        <v>10</v>
      </c>
      <c r="O297" s="8">
        <v>35</v>
      </c>
      <c r="P297" s="8"/>
      <c r="Q297" s="5">
        <v>-113.8024993</v>
      </c>
      <c r="R297" s="5">
        <v>46.0416711</v>
      </c>
      <c r="S297" s="5" t="s">
        <v>1426</v>
      </c>
      <c r="T297" s="5" t="s">
        <v>1427</v>
      </c>
      <c r="U297" s="8"/>
      <c r="V297" s="8"/>
      <c r="W297" s="8" t="s">
        <v>2966</v>
      </c>
      <c r="X297" s="8" t="s">
        <v>2967</v>
      </c>
    </row>
    <row r="298" spans="1:24" ht="22.5">
      <c r="A298" s="5" t="s">
        <v>1428</v>
      </c>
      <c r="B298" s="5" t="s">
        <v>1429</v>
      </c>
      <c r="C298" s="6" t="s">
        <v>1430</v>
      </c>
      <c r="D298" s="6"/>
      <c r="E298" s="6"/>
      <c r="F298" s="5" t="s">
        <v>1431</v>
      </c>
      <c r="G298" s="5"/>
      <c r="H298" s="6" t="s">
        <v>1432</v>
      </c>
      <c r="I298" s="5">
        <v>380</v>
      </c>
      <c r="J298" s="5">
        <v>1247</v>
      </c>
      <c r="K298" s="7" t="str">
        <f>HYPERLINK("http://www.centcols.org/util/geo/visuGen.php?code=US-NC-0380","US-NC-0380")</f>
        <v>US-NC-0380</v>
      </c>
      <c r="L298" s="8" t="s">
        <v>1433</v>
      </c>
      <c r="M298" s="9" t="s">
        <v>1434</v>
      </c>
      <c r="N298" s="8">
        <v>0</v>
      </c>
      <c r="O298" s="8">
        <v>0</v>
      </c>
      <c r="P298" s="8"/>
      <c r="Q298" s="5">
        <v>-80.325279</v>
      </c>
      <c r="R298" s="5">
        <v>36.3866705</v>
      </c>
      <c r="S298" s="5" t="s">
        <v>1435</v>
      </c>
      <c r="T298" s="5" t="s">
        <v>1436</v>
      </c>
      <c r="U298" s="8"/>
      <c r="V298" s="8"/>
      <c r="W298" s="8" t="s">
        <v>2966</v>
      </c>
      <c r="X298" s="9" t="s">
        <v>1437</v>
      </c>
    </row>
    <row r="299" spans="1:24" ht="11.25">
      <c r="A299" s="5" t="s">
        <v>1438</v>
      </c>
      <c r="B299" s="5" t="s">
        <v>1439</v>
      </c>
      <c r="C299" s="6" t="s">
        <v>1440</v>
      </c>
      <c r="D299" s="6"/>
      <c r="E299" s="6"/>
      <c r="F299" s="5" t="s">
        <v>1431</v>
      </c>
      <c r="G299" s="5"/>
      <c r="H299" s="6" t="s">
        <v>1441</v>
      </c>
      <c r="I299" s="5">
        <v>746</v>
      </c>
      <c r="J299" s="5">
        <v>2447</v>
      </c>
      <c r="K299" s="7" t="str">
        <f>HYPERLINK("http://www.centcols.org/util/geo/visuGen.php?code=US-NC-0746","US-NC-0746")</f>
        <v>US-NC-0746</v>
      </c>
      <c r="L299" s="8" t="s">
        <v>1442</v>
      </c>
      <c r="M299" s="8" t="s">
        <v>1443</v>
      </c>
      <c r="N299" s="8">
        <v>20</v>
      </c>
      <c r="O299" s="8">
        <v>99</v>
      </c>
      <c r="P299" s="8"/>
      <c r="Q299" s="5">
        <v>-82.5271491</v>
      </c>
      <c r="R299" s="5">
        <v>35.263651</v>
      </c>
      <c r="S299" s="5" t="s">
        <v>1444</v>
      </c>
      <c r="T299" s="5" t="s">
        <v>1445</v>
      </c>
      <c r="U299" s="8" t="s">
        <v>3622</v>
      </c>
      <c r="V299" s="8"/>
      <c r="W299" s="8" t="s">
        <v>2966</v>
      </c>
      <c r="X299" s="8" t="s">
        <v>2967</v>
      </c>
    </row>
    <row r="300" spans="1:24" ht="11.25">
      <c r="A300" s="5" t="s">
        <v>1446</v>
      </c>
      <c r="B300" s="5" t="s">
        <v>1447</v>
      </c>
      <c r="C300" s="6" t="s">
        <v>1448</v>
      </c>
      <c r="D300" s="6"/>
      <c r="E300" s="6"/>
      <c r="F300" s="5" t="s">
        <v>1431</v>
      </c>
      <c r="G300" s="5"/>
      <c r="H300" s="6" t="s">
        <v>1449</v>
      </c>
      <c r="I300" s="5">
        <v>809</v>
      </c>
      <c r="J300" s="5">
        <v>2654</v>
      </c>
      <c r="K300" s="7" t="str">
        <f>HYPERLINK("http://www.centcols.org/util/geo/visuGen.php?code=US-NC-0809","US-NC-0809")</f>
        <v>US-NC-0809</v>
      </c>
      <c r="L300" s="8" t="s">
        <v>1450</v>
      </c>
      <c r="M300" s="8" t="s">
        <v>3222</v>
      </c>
      <c r="N300" s="8">
        <v>15</v>
      </c>
      <c r="O300" s="8">
        <v>99</v>
      </c>
      <c r="P300" s="8"/>
      <c r="Q300" s="5">
        <v>-83.6972992</v>
      </c>
      <c r="R300" s="5">
        <v>34.9936605</v>
      </c>
      <c r="S300" s="5" t="s">
        <v>1451</v>
      </c>
      <c r="T300" s="5" t="s">
        <v>1452</v>
      </c>
      <c r="U300" s="8"/>
      <c r="V300" s="8"/>
      <c r="W300" s="8" t="s">
        <v>2966</v>
      </c>
      <c r="X300" s="8" t="s">
        <v>2991</v>
      </c>
    </row>
    <row r="301" spans="1:24" ht="11.25">
      <c r="A301" s="5" t="s">
        <v>1453</v>
      </c>
      <c r="B301" s="5" t="s">
        <v>1454</v>
      </c>
      <c r="C301" s="6" t="s">
        <v>1455</v>
      </c>
      <c r="D301" s="6"/>
      <c r="E301" s="6"/>
      <c r="F301" s="5" t="s">
        <v>1431</v>
      </c>
      <c r="G301" s="5"/>
      <c r="H301" s="6" t="s">
        <v>1456</v>
      </c>
      <c r="I301" s="5">
        <v>940</v>
      </c>
      <c r="J301" s="5">
        <v>3084</v>
      </c>
      <c r="K301" s="7" t="str">
        <f>HYPERLINK("http://www.centcols.org/util/geo/visuGen.php?code=US-NC-0940","US-NC-0940")</f>
        <v>US-NC-0940</v>
      </c>
      <c r="L301" s="8" t="s">
        <v>1457</v>
      </c>
      <c r="M301" s="8" t="s">
        <v>1458</v>
      </c>
      <c r="N301" s="8">
        <v>20</v>
      </c>
      <c r="O301" s="8">
        <v>99</v>
      </c>
      <c r="P301" s="8"/>
      <c r="Q301" s="5">
        <v>-82.2573842</v>
      </c>
      <c r="R301" s="5">
        <v>35.4633252</v>
      </c>
      <c r="S301" s="5" t="s">
        <v>1459</v>
      </c>
      <c r="T301" s="5" t="s">
        <v>1460</v>
      </c>
      <c r="U301" s="8"/>
      <c r="V301" s="8"/>
      <c r="W301" s="8" t="s">
        <v>2966</v>
      </c>
      <c r="X301" s="8" t="s">
        <v>2967</v>
      </c>
    </row>
    <row r="302" spans="1:24" ht="11.25">
      <c r="A302" s="5" t="s">
        <v>1461</v>
      </c>
      <c r="B302" s="5" t="s">
        <v>1462</v>
      </c>
      <c r="C302" s="6" t="s">
        <v>1463</v>
      </c>
      <c r="D302" s="6"/>
      <c r="E302" s="6"/>
      <c r="F302" s="5" t="s">
        <v>1431</v>
      </c>
      <c r="G302" s="5"/>
      <c r="H302" s="6" t="s">
        <v>1464</v>
      </c>
      <c r="I302" s="5">
        <v>948</v>
      </c>
      <c r="J302" s="5">
        <v>3110</v>
      </c>
      <c r="K302" s="7" t="str">
        <f>HYPERLINK("http://www.centcols.org/util/geo/visuGen.php?code=US-NC-0948","US-NC-0948")</f>
        <v>US-NC-0948</v>
      </c>
      <c r="L302" s="8" t="s">
        <v>1465</v>
      </c>
      <c r="M302" s="9" t="s">
        <v>1466</v>
      </c>
      <c r="N302" s="8">
        <v>0</v>
      </c>
      <c r="O302" s="8">
        <v>0</v>
      </c>
      <c r="P302" s="8"/>
      <c r="Q302" s="5">
        <v>-81.3751693</v>
      </c>
      <c r="R302" s="5">
        <v>36.3440607</v>
      </c>
      <c r="S302" s="5" t="s">
        <v>1467</v>
      </c>
      <c r="T302" s="5" t="s">
        <v>1468</v>
      </c>
      <c r="U302" s="8"/>
      <c r="V302" s="8"/>
      <c r="W302" s="8" t="s">
        <v>2966</v>
      </c>
      <c r="X302" s="8" t="s">
        <v>3202</v>
      </c>
    </row>
    <row r="303" spans="1:24" ht="11.25">
      <c r="A303" s="5" t="s">
        <v>1469</v>
      </c>
      <c r="B303" s="5" t="s">
        <v>1470</v>
      </c>
      <c r="C303" s="6" t="s">
        <v>1471</v>
      </c>
      <c r="D303" s="6"/>
      <c r="E303" s="6"/>
      <c r="F303" s="5" t="s">
        <v>1431</v>
      </c>
      <c r="G303" s="5"/>
      <c r="H303" s="6" t="s">
        <v>1472</v>
      </c>
      <c r="I303" s="5">
        <v>957</v>
      </c>
      <c r="J303" s="5">
        <v>3140</v>
      </c>
      <c r="K303" s="7" t="str">
        <f>HYPERLINK("http://www.centcols.org/util/geo/visuGen.php?code=US-NC-0957b","US-NC-0957b")</f>
        <v>US-NC-0957b</v>
      </c>
      <c r="L303" s="8" t="s">
        <v>1473</v>
      </c>
      <c r="M303" s="8"/>
      <c r="N303" s="8">
        <v>0</v>
      </c>
      <c r="O303" s="8">
        <v>0</v>
      </c>
      <c r="P303" s="8"/>
      <c r="Q303" s="5">
        <v>-81.499167</v>
      </c>
      <c r="R303" s="5">
        <v>36.229444</v>
      </c>
      <c r="S303" s="5" t="s">
        <v>1474</v>
      </c>
      <c r="T303" s="5" t="s">
        <v>1475</v>
      </c>
      <c r="U303" s="8"/>
      <c r="V303" s="8" t="s">
        <v>1466</v>
      </c>
      <c r="W303" s="8" t="s">
        <v>2966</v>
      </c>
      <c r="X303" s="8" t="s">
        <v>3011</v>
      </c>
    </row>
    <row r="304" spans="1:24" ht="11.25">
      <c r="A304" s="5" t="s">
        <v>1476</v>
      </c>
      <c r="B304" s="5" t="s">
        <v>1477</v>
      </c>
      <c r="C304" s="6" t="s">
        <v>1478</v>
      </c>
      <c r="D304" s="6"/>
      <c r="E304" s="6" t="s">
        <v>1479</v>
      </c>
      <c r="F304" s="5" t="s">
        <v>1431</v>
      </c>
      <c r="G304" s="5"/>
      <c r="H304" s="6" t="s">
        <v>1480</v>
      </c>
      <c r="I304" s="5">
        <v>1018</v>
      </c>
      <c r="J304" s="5">
        <v>3340</v>
      </c>
      <c r="K304" s="7" t="str">
        <f>HYPERLINK("http://www.centcols.org/util/geo/visuGen.php?code=US-NC-1018","US-NC-1018")</f>
        <v>US-NC-1018</v>
      </c>
      <c r="L304" s="8" t="s">
        <v>1481</v>
      </c>
      <c r="M304" s="8"/>
      <c r="N304" s="8">
        <v>20</v>
      </c>
      <c r="O304" s="8">
        <v>99</v>
      </c>
      <c r="P304" s="8"/>
      <c r="Q304" s="5">
        <v>-82.114167</v>
      </c>
      <c r="R304" s="5">
        <v>35.844167</v>
      </c>
      <c r="S304" s="5" t="s">
        <v>1482</v>
      </c>
      <c r="T304" s="5" t="s">
        <v>1483</v>
      </c>
      <c r="U304" s="8"/>
      <c r="V304" s="8"/>
      <c r="W304" s="8" t="s">
        <v>2966</v>
      </c>
      <c r="X304" s="8" t="s">
        <v>3011</v>
      </c>
    </row>
    <row r="305" spans="1:24" ht="11.25">
      <c r="A305" s="5" t="s">
        <v>1484</v>
      </c>
      <c r="B305" s="5" t="s">
        <v>1485</v>
      </c>
      <c r="C305" s="6" t="s">
        <v>1486</v>
      </c>
      <c r="D305" s="6"/>
      <c r="E305" s="6"/>
      <c r="F305" s="5" t="s">
        <v>1431</v>
      </c>
      <c r="G305" s="5"/>
      <c r="H305" s="6" t="s">
        <v>1464</v>
      </c>
      <c r="I305" s="5">
        <v>1024</v>
      </c>
      <c r="J305" s="5">
        <v>3360</v>
      </c>
      <c r="K305" s="7" t="str">
        <f>HYPERLINK("http://www.centcols.org/util/geo/visuGen.php?code=US-NC-1024","US-NC-1024")</f>
        <v>US-NC-1024</v>
      </c>
      <c r="L305" s="8" t="s">
        <v>1465</v>
      </c>
      <c r="M305" s="9" t="s">
        <v>1466</v>
      </c>
      <c r="N305" s="8">
        <v>0</v>
      </c>
      <c r="O305" s="8">
        <v>0</v>
      </c>
      <c r="P305" s="8"/>
      <c r="Q305" s="5">
        <v>-81.3054292</v>
      </c>
      <c r="R305" s="5">
        <v>36.3644504</v>
      </c>
      <c r="S305" s="5" t="s">
        <v>1487</v>
      </c>
      <c r="T305" s="5" t="s">
        <v>1488</v>
      </c>
      <c r="U305" s="8"/>
      <c r="V305" s="8" t="s">
        <v>1466</v>
      </c>
      <c r="W305" s="8" t="s">
        <v>2966</v>
      </c>
      <c r="X305" s="8" t="s">
        <v>3202</v>
      </c>
    </row>
    <row r="306" spans="1:24" ht="11.25">
      <c r="A306" s="5" t="s">
        <v>1489</v>
      </c>
      <c r="B306" s="5" t="s">
        <v>1490</v>
      </c>
      <c r="C306" s="6" t="s">
        <v>1491</v>
      </c>
      <c r="D306" s="6"/>
      <c r="E306" s="6"/>
      <c r="F306" s="5" t="s">
        <v>1431</v>
      </c>
      <c r="G306" s="5"/>
      <c r="H306" s="6" t="s">
        <v>1492</v>
      </c>
      <c r="I306" s="5">
        <v>1041</v>
      </c>
      <c r="J306" s="5">
        <v>3415</v>
      </c>
      <c r="K306" s="7" t="str">
        <f>HYPERLINK("http://www.centcols.org/util/geo/visuGen.php?code=US-NC-1041b","US-NC-1041b")</f>
        <v>US-NC-1041b</v>
      </c>
      <c r="L306" s="8" t="s">
        <v>1493</v>
      </c>
      <c r="M306" s="8" t="s">
        <v>2988</v>
      </c>
      <c r="N306" s="8">
        <v>10</v>
      </c>
      <c r="O306" s="8">
        <v>35</v>
      </c>
      <c r="P306" s="8"/>
      <c r="Q306" s="5">
        <v>-83.3437791</v>
      </c>
      <c r="R306" s="5">
        <v>35.5006807</v>
      </c>
      <c r="S306" s="5" t="s">
        <v>1494</v>
      </c>
      <c r="T306" s="5" t="s">
        <v>1495</v>
      </c>
      <c r="U306" s="8"/>
      <c r="V306" s="8" t="s">
        <v>1496</v>
      </c>
      <c r="W306" s="8" t="s">
        <v>2966</v>
      </c>
      <c r="X306" s="8" t="s">
        <v>2967</v>
      </c>
    </row>
    <row r="307" spans="1:24" ht="11.25">
      <c r="A307" s="5" t="s">
        <v>1497</v>
      </c>
      <c r="B307" s="5" t="s">
        <v>1498</v>
      </c>
      <c r="C307" s="6" t="s">
        <v>1499</v>
      </c>
      <c r="D307" s="6"/>
      <c r="E307" s="6"/>
      <c r="F307" s="5" t="s">
        <v>1431</v>
      </c>
      <c r="G307" s="5" t="s">
        <v>1500</v>
      </c>
      <c r="H307" s="6" t="s">
        <v>1501</v>
      </c>
      <c r="I307" s="5">
        <v>1078</v>
      </c>
      <c r="J307" s="5">
        <v>3537</v>
      </c>
      <c r="K307" s="7" t="str">
        <f>HYPERLINK("http://www.centcols.org/util/geo/visuGen.php?code=US-NC-1078a","US-NC-1078a")</f>
        <v>US-NC-1078a</v>
      </c>
      <c r="L307" s="8" t="s">
        <v>1502</v>
      </c>
      <c r="M307" s="9"/>
      <c r="N307" s="8">
        <v>15</v>
      </c>
      <c r="O307" s="8">
        <v>99</v>
      </c>
      <c r="P307" s="8" t="s">
        <v>427</v>
      </c>
      <c r="Q307" s="5">
        <v>-83.03306</v>
      </c>
      <c r="R307" s="5">
        <v>35.78639</v>
      </c>
      <c r="S307" s="5" t="s">
        <v>1503</v>
      </c>
      <c r="T307" s="5" t="s">
        <v>1504</v>
      </c>
      <c r="U307" s="8"/>
      <c r="V307" s="8" t="s">
        <v>1505</v>
      </c>
      <c r="W307" s="8" t="s">
        <v>2966</v>
      </c>
      <c r="X307" s="6" t="s">
        <v>3011</v>
      </c>
    </row>
    <row r="308" spans="1:24" ht="11.25">
      <c r="A308" s="5" t="s">
        <v>1506</v>
      </c>
      <c r="B308" s="5" t="s">
        <v>1507</v>
      </c>
      <c r="C308" s="6" t="s">
        <v>1508</v>
      </c>
      <c r="D308" s="6"/>
      <c r="E308" s="6" t="s">
        <v>1509</v>
      </c>
      <c r="F308" s="5" t="s">
        <v>1431</v>
      </c>
      <c r="G308" s="5"/>
      <c r="H308" s="6" t="s">
        <v>1501</v>
      </c>
      <c r="I308" s="5">
        <v>1083</v>
      </c>
      <c r="J308" s="5">
        <v>3553</v>
      </c>
      <c r="K308" s="7" t="str">
        <f>HYPERLINK("http://www.centcols.org/util/geo/visuGen.php?code=US-NC-1083","US-NC-1083")</f>
        <v>US-NC-1083</v>
      </c>
      <c r="L308" s="8" t="s">
        <v>1510</v>
      </c>
      <c r="M308" s="8" t="s">
        <v>3113</v>
      </c>
      <c r="N308" s="8">
        <v>10</v>
      </c>
      <c r="O308" s="8">
        <v>35</v>
      </c>
      <c r="P308" s="8" t="s">
        <v>3338</v>
      </c>
      <c r="Q308" s="5">
        <v>-83.0579494</v>
      </c>
      <c r="R308" s="5">
        <v>35.6392307</v>
      </c>
      <c r="S308" s="5" t="s">
        <v>1511</v>
      </c>
      <c r="T308" s="5" t="s">
        <v>1512</v>
      </c>
      <c r="U308" s="8"/>
      <c r="V308" s="8" t="s">
        <v>1513</v>
      </c>
      <c r="W308" s="8" t="s">
        <v>2966</v>
      </c>
      <c r="X308" s="8" t="s">
        <v>3085</v>
      </c>
    </row>
    <row r="309" spans="1:24" ht="11.25">
      <c r="A309" s="5" t="s">
        <v>1514</v>
      </c>
      <c r="B309" s="5" t="s">
        <v>1515</v>
      </c>
      <c r="C309" s="6" t="s">
        <v>1516</v>
      </c>
      <c r="D309" s="6"/>
      <c r="E309" s="6"/>
      <c r="F309" s="5" t="s">
        <v>1431</v>
      </c>
      <c r="G309" s="5"/>
      <c r="H309" s="6" t="s">
        <v>1517</v>
      </c>
      <c r="I309" s="5">
        <v>1087</v>
      </c>
      <c r="J309" s="5">
        <v>3566</v>
      </c>
      <c r="K309" s="7" t="str">
        <f>HYPERLINK("http://www.centcols.org/util/geo/visuGen.php?code=US-NC-1087","US-NC-1087")</f>
        <v>US-NC-1087</v>
      </c>
      <c r="L309" s="8" t="s">
        <v>491</v>
      </c>
      <c r="M309" s="8" t="s">
        <v>3222</v>
      </c>
      <c r="N309" s="8">
        <v>15</v>
      </c>
      <c r="O309" s="8">
        <v>99</v>
      </c>
      <c r="P309" s="8"/>
      <c r="Q309" s="5">
        <v>-83.8748292</v>
      </c>
      <c r="R309" s="5">
        <v>35.2437205</v>
      </c>
      <c r="S309" s="5" t="s">
        <v>1518</v>
      </c>
      <c r="T309" s="5" t="s">
        <v>1519</v>
      </c>
      <c r="U309" s="8"/>
      <c r="V309" s="8"/>
      <c r="W309" s="8" t="s">
        <v>2966</v>
      </c>
      <c r="X309" s="8" t="s">
        <v>2967</v>
      </c>
    </row>
    <row r="310" spans="1:24" ht="11.25">
      <c r="A310" s="5" t="s">
        <v>1520</v>
      </c>
      <c r="B310" s="5" t="s">
        <v>1521</v>
      </c>
      <c r="C310" s="6" t="s">
        <v>1522</v>
      </c>
      <c r="D310" s="6"/>
      <c r="E310" s="6"/>
      <c r="F310" s="5" t="s">
        <v>1431</v>
      </c>
      <c r="G310" s="5"/>
      <c r="H310" s="6" t="s">
        <v>1517</v>
      </c>
      <c r="I310" s="5">
        <v>1172</v>
      </c>
      <c r="J310" s="5">
        <v>3845</v>
      </c>
      <c r="K310" s="7" t="str">
        <f>HYPERLINK("http://www.centcols.org/util/geo/visuGen.php?code=US-NC-1172a","US-NC-1172a")</f>
        <v>US-NC-1172a</v>
      </c>
      <c r="L310" s="8" t="s">
        <v>491</v>
      </c>
      <c r="M310" s="8" t="s">
        <v>3222</v>
      </c>
      <c r="N310" s="8">
        <v>15</v>
      </c>
      <c r="O310" s="8">
        <v>99</v>
      </c>
      <c r="P310" s="8"/>
      <c r="Q310" s="5">
        <v>-83.9722692</v>
      </c>
      <c r="R310" s="5">
        <v>35.1991206</v>
      </c>
      <c r="S310" s="5" t="s">
        <v>1523</v>
      </c>
      <c r="T310" s="5" t="s">
        <v>1524</v>
      </c>
      <c r="U310" s="8"/>
      <c r="V310" s="8"/>
      <c r="W310" s="8" t="s">
        <v>2966</v>
      </c>
      <c r="X310" s="8" t="s">
        <v>3202</v>
      </c>
    </row>
    <row r="311" spans="1:24" ht="11.25">
      <c r="A311" s="5" t="s">
        <v>1525</v>
      </c>
      <c r="B311" s="5" t="s">
        <v>1526</v>
      </c>
      <c r="C311" s="6" t="s">
        <v>1527</v>
      </c>
      <c r="D311" s="6"/>
      <c r="E311" s="6" t="s">
        <v>1528</v>
      </c>
      <c r="F311" s="5" t="s">
        <v>1431</v>
      </c>
      <c r="G311" s="5"/>
      <c r="H311" s="6" t="s">
        <v>1480</v>
      </c>
      <c r="I311" s="5">
        <v>1192</v>
      </c>
      <c r="J311" s="5">
        <v>3911</v>
      </c>
      <c r="K311" s="7" t="str">
        <f>HYPERLINK("http://www.centcols.org/util/geo/visuGen.php?code=US-NC-1192a","US-NC-1192a")</f>
        <v>US-NC-1192a</v>
      </c>
      <c r="L311" s="8" t="s">
        <v>1529</v>
      </c>
      <c r="M311" s="9" t="s">
        <v>1530</v>
      </c>
      <c r="N311" s="8">
        <v>10</v>
      </c>
      <c r="O311" s="8">
        <v>35</v>
      </c>
      <c r="P311" s="8"/>
      <c r="Q311" s="5">
        <v>-82.1334488</v>
      </c>
      <c r="R311" s="5">
        <v>35.8229008</v>
      </c>
      <c r="S311" s="5" t="s">
        <v>1531</v>
      </c>
      <c r="T311" s="5" t="s">
        <v>1532</v>
      </c>
      <c r="U311" s="8"/>
      <c r="V311" s="8" t="s">
        <v>1466</v>
      </c>
      <c r="W311" s="8" t="s">
        <v>2966</v>
      </c>
      <c r="X311" s="8" t="s">
        <v>2967</v>
      </c>
    </row>
    <row r="312" spans="1:24" ht="11.25">
      <c r="A312" s="5" t="s">
        <v>1533</v>
      </c>
      <c r="B312" s="5" t="s">
        <v>1534</v>
      </c>
      <c r="C312" s="6" t="s">
        <v>1535</v>
      </c>
      <c r="D312" s="6"/>
      <c r="E312" s="6"/>
      <c r="F312" s="5" t="s">
        <v>1431</v>
      </c>
      <c r="G312" s="5"/>
      <c r="H312" s="6" t="s">
        <v>1480</v>
      </c>
      <c r="I312" s="5">
        <v>1234</v>
      </c>
      <c r="J312" s="5">
        <v>4049</v>
      </c>
      <c r="K312" s="7" t="str">
        <f>HYPERLINK("http://www.centcols.org/util/geo/visuGen.php?code=US-NC-1234a","US-NC-1234a")</f>
        <v>US-NC-1234a</v>
      </c>
      <c r="L312" s="8" t="s">
        <v>1536</v>
      </c>
      <c r="M312" s="9"/>
      <c r="N312" s="8">
        <v>10</v>
      </c>
      <c r="O312" s="8">
        <v>35</v>
      </c>
      <c r="P312" s="8"/>
      <c r="Q312" s="5">
        <v>-82.1928</v>
      </c>
      <c r="R312" s="5">
        <v>35.73655</v>
      </c>
      <c r="S312" s="5" t="s">
        <v>1537</v>
      </c>
      <c r="T312" s="5" t="s">
        <v>1538</v>
      </c>
      <c r="U312" s="8"/>
      <c r="V312" s="8" t="s">
        <v>1466</v>
      </c>
      <c r="W312" s="8" t="s">
        <v>2966</v>
      </c>
      <c r="X312" s="6" t="s">
        <v>3011</v>
      </c>
    </row>
    <row r="313" spans="1:24" ht="11.25">
      <c r="A313" s="5" t="s">
        <v>1539</v>
      </c>
      <c r="B313" s="5" t="s">
        <v>1540</v>
      </c>
      <c r="C313" s="6" t="s">
        <v>1541</v>
      </c>
      <c r="D313" s="6"/>
      <c r="E313" s="6"/>
      <c r="F313" s="5" t="s">
        <v>1431</v>
      </c>
      <c r="G313" s="5"/>
      <c r="H313" s="6" t="s">
        <v>1492</v>
      </c>
      <c r="I313" s="5">
        <v>1314</v>
      </c>
      <c r="J313" s="5">
        <v>4311</v>
      </c>
      <c r="K313" s="7" t="str">
        <f>HYPERLINK("http://www.centcols.org/util/geo/visuGen.php?code=US-NC-1314a","US-NC-1314a")</f>
        <v>US-NC-1314a</v>
      </c>
      <c r="L313" s="8" t="s">
        <v>1542</v>
      </c>
      <c r="M313" s="8" t="s">
        <v>3222</v>
      </c>
      <c r="N313" s="8">
        <v>15</v>
      </c>
      <c r="O313" s="8">
        <v>99</v>
      </c>
      <c r="P313" s="8" t="s">
        <v>3338</v>
      </c>
      <c r="Q313" s="5">
        <v>-83.851843</v>
      </c>
      <c r="R313" s="5">
        <v>35.5042537</v>
      </c>
      <c r="S313" s="5" t="s">
        <v>1543</v>
      </c>
      <c r="T313" s="5" t="s">
        <v>1544</v>
      </c>
      <c r="U313" s="8"/>
      <c r="V313" s="8" t="s">
        <v>1513</v>
      </c>
      <c r="W313" s="8" t="s">
        <v>2966</v>
      </c>
      <c r="X313" s="8" t="s">
        <v>2967</v>
      </c>
    </row>
    <row r="314" spans="1:24" ht="11.25">
      <c r="A314" s="5" t="s">
        <v>1545</v>
      </c>
      <c r="B314" s="5" t="s">
        <v>1546</v>
      </c>
      <c r="C314" s="6" t="s">
        <v>1547</v>
      </c>
      <c r="D314" s="6"/>
      <c r="E314" s="6"/>
      <c r="F314" s="5" t="s">
        <v>1431</v>
      </c>
      <c r="G314" s="5"/>
      <c r="H314" s="6" t="s">
        <v>1548</v>
      </c>
      <c r="I314" s="5">
        <v>1332</v>
      </c>
      <c r="J314" s="5">
        <v>4370</v>
      </c>
      <c r="K314" s="7" t="str">
        <f>HYPERLINK("http://www.centcols.org/util/geo/visuGen.php?code=US-NC-1332b","US-NC-1332b")</f>
        <v>US-NC-1332b</v>
      </c>
      <c r="L314" s="8" t="s">
        <v>1549</v>
      </c>
      <c r="M314" s="8"/>
      <c r="N314" s="8">
        <v>15</v>
      </c>
      <c r="O314" s="8">
        <v>99</v>
      </c>
      <c r="P314" s="8"/>
      <c r="Q314" s="5">
        <v>-83.6675</v>
      </c>
      <c r="R314" s="5">
        <v>35.331389</v>
      </c>
      <c r="S314" s="5" t="s">
        <v>1550</v>
      </c>
      <c r="T314" s="5" t="s">
        <v>1551</v>
      </c>
      <c r="U314" s="8"/>
      <c r="V314" s="8"/>
      <c r="W314" s="8" t="s">
        <v>2966</v>
      </c>
      <c r="X314" s="8" t="s">
        <v>3011</v>
      </c>
    </row>
    <row r="315" spans="1:24" ht="11.25">
      <c r="A315" s="5" t="s">
        <v>1552</v>
      </c>
      <c r="B315" s="5" t="s">
        <v>1553</v>
      </c>
      <c r="C315" s="6" t="s">
        <v>2479</v>
      </c>
      <c r="D315" s="6"/>
      <c r="E315" s="6"/>
      <c r="F315" s="5" t="s">
        <v>1431</v>
      </c>
      <c r="G315" s="5"/>
      <c r="H315" s="6" t="s">
        <v>1554</v>
      </c>
      <c r="I315" s="5">
        <v>1344</v>
      </c>
      <c r="J315" s="5">
        <v>4409</v>
      </c>
      <c r="K315" s="7" t="str">
        <f>HYPERLINK("http://www.centcols.org/util/geo/visuGen.php?code=US-NC-1344","US-NC-1344")</f>
        <v>US-NC-1344</v>
      </c>
      <c r="L315" s="8" t="s">
        <v>1555</v>
      </c>
      <c r="M315" s="8" t="s">
        <v>2473</v>
      </c>
      <c r="N315" s="8">
        <v>15</v>
      </c>
      <c r="O315" s="8">
        <v>99</v>
      </c>
      <c r="P315" s="8" t="s">
        <v>427</v>
      </c>
      <c r="Q315" s="5">
        <v>-83.5546491</v>
      </c>
      <c r="R315" s="5">
        <v>35.1360907</v>
      </c>
      <c r="S315" s="5" t="s">
        <v>1556</v>
      </c>
      <c r="T315" s="5" t="s">
        <v>1557</v>
      </c>
      <c r="U315" s="8"/>
      <c r="V315" s="8" t="s">
        <v>1505</v>
      </c>
      <c r="W315" s="8" t="s">
        <v>2966</v>
      </c>
      <c r="X315" s="8" t="s">
        <v>2967</v>
      </c>
    </row>
    <row r="316" spans="1:24" ht="11.25">
      <c r="A316" s="5" t="s">
        <v>1558</v>
      </c>
      <c r="B316" s="5" t="s">
        <v>1559</v>
      </c>
      <c r="C316" s="6" t="s">
        <v>1560</v>
      </c>
      <c r="D316" s="6"/>
      <c r="E316" s="6"/>
      <c r="F316" s="5" t="s">
        <v>1431</v>
      </c>
      <c r="G316" s="5"/>
      <c r="H316" s="6" t="s">
        <v>1480</v>
      </c>
      <c r="I316" s="5">
        <v>1437</v>
      </c>
      <c r="J316" s="5">
        <v>4715</v>
      </c>
      <c r="K316" s="7" t="str">
        <f>HYPERLINK("http://www.centcols.org/util/geo/visuGen.php?code=US-NC-1437","US-NC-1437")</f>
        <v>US-NC-1437</v>
      </c>
      <c r="L316" s="8" t="s">
        <v>1536</v>
      </c>
      <c r="M316" s="9" t="s">
        <v>1466</v>
      </c>
      <c r="N316" s="8">
        <v>0</v>
      </c>
      <c r="O316" s="8">
        <v>0</v>
      </c>
      <c r="P316" s="8"/>
      <c r="Q316" s="5">
        <v>-82.2266388</v>
      </c>
      <c r="R316" s="5">
        <v>35.7183108</v>
      </c>
      <c r="S316" s="5" t="s">
        <v>1561</v>
      </c>
      <c r="T316" s="5" t="s">
        <v>1562</v>
      </c>
      <c r="U316" s="8"/>
      <c r="V316" s="8" t="s">
        <v>1466</v>
      </c>
      <c r="W316" s="8" t="s">
        <v>2966</v>
      </c>
      <c r="X316" s="8" t="s">
        <v>3085</v>
      </c>
    </row>
    <row r="317" spans="1:24" ht="11.25">
      <c r="A317" s="5" t="s">
        <v>1563</v>
      </c>
      <c r="B317" s="5" t="s">
        <v>1564</v>
      </c>
      <c r="C317" s="6" t="s">
        <v>1565</v>
      </c>
      <c r="D317" s="6"/>
      <c r="E317" s="6"/>
      <c r="F317" s="5" t="s">
        <v>1431</v>
      </c>
      <c r="G317" s="5"/>
      <c r="H317" s="6" t="s">
        <v>1566</v>
      </c>
      <c r="I317" s="5">
        <v>1485</v>
      </c>
      <c r="J317" s="5">
        <v>4872</v>
      </c>
      <c r="K317" s="7" t="str">
        <f>HYPERLINK("http://www.centcols.org/util/geo/visuGen.php?code=US-NC-1485","US-NC-1485")</f>
        <v>US-NC-1485</v>
      </c>
      <c r="L317" s="8" t="s">
        <v>1567</v>
      </c>
      <c r="M317" s="8" t="s">
        <v>2962</v>
      </c>
      <c r="N317" s="8">
        <v>20</v>
      </c>
      <c r="O317" s="8">
        <v>99</v>
      </c>
      <c r="P317" s="8"/>
      <c r="Q317" s="5">
        <v>-82.1691691</v>
      </c>
      <c r="R317" s="5">
        <v>36.0786111</v>
      </c>
      <c r="S317" s="5" t="s">
        <v>1568</v>
      </c>
      <c r="T317" s="5" t="s">
        <v>1569</v>
      </c>
      <c r="U317" s="8"/>
      <c r="V317" s="8"/>
      <c r="W317" s="8" t="s">
        <v>2966</v>
      </c>
      <c r="X317" s="8" t="s">
        <v>2967</v>
      </c>
    </row>
    <row r="318" spans="1:24" ht="11.25">
      <c r="A318" s="5" t="s">
        <v>1570</v>
      </c>
      <c r="B318" s="5" t="s">
        <v>1571</v>
      </c>
      <c r="C318" s="6" t="s">
        <v>1572</v>
      </c>
      <c r="D318" s="6"/>
      <c r="E318" s="6"/>
      <c r="F318" s="5" t="s">
        <v>1431</v>
      </c>
      <c r="G318" s="5"/>
      <c r="H318" s="6" t="s">
        <v>1501</v>
      </c>
      <c r="I318" s="5">
        <v>1519</v>
      </c>
      <c r="J318" s="5">
        <v>4984</v>
      </c>
      <c r="K318" s="7" t="str">
        <f>HYPERLINK("http://www.centcols.org/util/geo/visuGen.php?code=US-NC-1519","US-NC-1519")</f>
        <v>US-NC-1519</v>
      </c>
      <c r="L318" s="8" t="s">
        <v>1573</v>
      </c>
      <c r="M318" s="8" t="s">
        <v>1574</v>
      </c>
      <c r="N318" s="8">
        <v>20</v>
      </c>
      <c r="O318" s="8">
        <v>99</v>
      </c>
      <c r="P318" s="8"/>
      <c r="Q318" s="5">
        <v>-83.0775971</v>
      </c>
      <c r="R318" s="5">
        <v>35.5483253</v>
      </c>
      <c r="S318" s="5" t="s">
        <v>1575</v>
      </c>
      <c r="T318" s="5" t="s">
        <v>1576</v>
      </c>
      <c r="U318" s="8"/>
      <c r="V318" s="8"/>
      <c r="W318" s="8" t="s">
        <v>2966</v>
      </c>
      <c r="X318" s="8" t="s">
        <v>2967</v>
      </c>
    </row>
    <row r="319" spans="1:24" ht="11.25">
      <c r="A319" s="5" t="s">
        <v>1577</v>
      </c>
      <c r="B319" s="5" t="s">
        <v>1578</v>
      </c>
      <c r="C319" s="6" t="s">
        <v>1579</v>
      </c>
      <c r="D319" s="6"/>
      <c r="E319" s="6"/>
      <c r="F319" s="5" t="s">
        <v>1431</v>
      </c>
      <c r="G319" s="5" t="s">
        <v>1500</v>
      </c>
      <c r="H319" s="6" t="s">
        <v>1580</v>
      </c>
      <c r="I319" s="5">
        <v>1573</v>
      </c>
      <c r="J319" s="5">
        <v>5161</v>
      </c>
      <c r="K319" s="7" t="str">
        <f>HYPERLINK("http://www.centcols.org/util/geo/visuGen.php?code=US-NC-1573","US-NC-1573")</f>
        <v>US-NC-1573</v>
      </c>
      <c r="L319" s="8" t="s">
        <v>1581</v>
      </c>
      <c r="M319" s="8" t="s">
        <v>2473</v>
      </c>
      <c r="N319" s="8">
        <v>15</v>
      </c>
      <c r="O319" s="8">
        <v>99</v>
      </c>
      <c r="P319" s="8" t="s">
        <v>427</v>
      </c>
      <c r="Q319" s="5">
        <v>-82.0621689</v>
      </c>
      <c r="R319" s="5">
        <v>36.1127712</v>
      </c>
      <c r="S319" s="5" t="s">
        <v>1582</v>
      </c>
      <c r="T319" s="5" t="s">
        <v>1583</v>
      </c>
      <c r="U319" s="8"/>
      <c r="V319" s="8" t="s">
        <v>1505</v>
      </c>
      <c r="W319" s="8" t="s">
        <v>2966</v>
      </c>
      <c r="X319" s="8" t="s">
        <v>3202</v>
      </c>
    </row>
    <row r="320" spans="1:24" ht="11.25">
      <c r="A320" s="5" t="s">
        <v>1584</v>
      </c>
      <c r="B320" s="5" t="s">
        <v>1585</v>
      </c>
      <c r="C320" s="6" t="s">
        <v>1586</v>
      </c>
      <c r="D320" s="6"/>
      <c r="E320" s="6"/>
      <c r="F320" s="5" t="s">
        <v>1431</v>
      </c>
      <c r="G320" s="5"/>
      <c r="H320" s="6" t="s">
        <v>1501</v>
      </c>
      <c r="I320" s="5">
        <v>1577</v>
      </c>
      <c r="J320" s="5">
        <v>5174</v>
      </c>
      <c r="K320" s="7" t="str">
        <f>HYPERLINK("http://www.centcols.org/util/geo/visuGen.php?code=US-NC-1577","US-NC-1577")</f>
        <v>US-NC-1577</v>
      </c>
      <c r="L320" s="8" t="s">
        <v>1587</v>
      </c>
      <c r="M320" s="8" t="s">
        <v>3222</v>
      </c>
      <c r="N320" s="8">
        <v>15</v>
      </c>
      <c r="O320" s="8">
        <v>99</v>
      </c>
      <c r="P320" s="8" t="s">
        <v>3338</v>
      </c>
      <c r="Q320" s="5">
        <v>-83.1574994</v>
      </c>
      <c r="R320" s="5">
        <v>35.5561105</v>
      </c>
      <c r="S320" s="5" t="s">
        <v>1588</v>
      </c>
      <c r="T320" s="5" t="s">
        <v>1589</v>
      </c>
      <c r="U320" s="8"/>
      <c r="V320" s="8" t="s">
        <v>1513</v>
      </c>
      <c r="W320" s="8" t="s">
        <v>2966</v>
      </c>
      <c r="X320" s="8" t="s">
        <v>2967</v>
      </c>
    </row>
    <row r="321" spans="1:24" ht="11.25">
      <c r="A321" s="5" t="s">
        <v>1590</v>
      </c>
      <c r="B321" s="5" t="s">
        <v>1591</v>
      </c>
      <c r="C321" s="6" t="s">
        <v>1592</v>
      </c>
      <c r="D321" s="6"/>
      <c r="E321" s="6"/>
      <c r="F321" s="5" t="s">
        <v>1593</v>
      </c>
      <c r="G321" s="5"/>
      <c r="H321" s="6" t="s">
        <v>535</v>
      </c>
      <c r="I321" s="5">
        <v>726</v>
      </c>
      <c r="J321" s="5">
        <v>2382</v>
      </c>
      <c r="K321" s="7" t="str">
        <f>HYPERLINK("http://www.centcols.org/util/geo/visuGen.php?code=US-NE-0726","US-NE-0726")</f>
        <v>US-NE-0726</v>
      </c>
      <c r="L321" s="8" t="s">
        <v>1594</v>
      </c>
      <c r="M321" s="8" t="s">
        <v>2988</v>
      </c>
      <c r="N321" s="8">
        <v>10</v>
      </c>
      <c r="O321" s="8">
        <v>35</v>
      </c>
      <c r="P321" s="8"/>
      <c r="Q321" s="5">
        <v>-99.1254978</v>
      </c>
      <c r="R321" s="5">
        <v>41.8166221</v>
      </c>
      <c r="S321" s="5" t="s">
        <v>1595</v>
      </c>
      <c r="T321" s="5" t="s">
        <v>1596</v>
      </c>
      <c r="U321" s="8"/>
      <c r="V321" s="8"/>
      <c r="W321" s="8" t="s">
        <v>2966</v>
      </c>
      <c r="X321" s="8" t="s">
        <v>2967</v>
      </c>
    </row>
    <row r="322" spans="1:24" ht="11.25">
      <c r="A322" s="5" t="s">
        <v>394</v>
      </c>
      <c r="B322" s="5" t="s">
        <v>1597</v>
      </c>
      <c r="C322" s="6" t="s">
        <v>1598</v>
      </c>
      <c r="D322" s="6"/>
      <c r="E322" s="6"/>
      <c r="F322" s="5" t="s">
        <v>1599</v>
      </c>
      <c r="G322" s="5"/>
      <c r="H322" s="6" t="s">
        <v>1600</v>
      </c>
      <c r="I322" s="5">
        <v>535</v>
      </c>
      <c r="J322" s="5">
        <v>1755</v>
      </c>
      <c r="K322" s="7" t="str">
        <f>HYPERLINK("http://www.centcols.org/util/geo/visuGen.php?code=US-NH-0535","US-NH-0535")</f>
        <v>US-NH-0535</v>
      </c>
      <c r="L322" s="8" t="s">
        <v>1601</v>
      </c>
      <c r="M322" s="9"/>
      <c r="N322" s="8">
        <v>20</v>
      </c>
      <c r="O322" s="8">
        <v>99</v>
      </c>
      <c r="P322" s="8"/>
      <c r="Q322" s="5">
        <v>-71.4536089</v>
      </c>
      <c r="R322" s="5">
        <v>45.2444408</v>
      </c>
      <c r="S322" s="5" t="s">
        <v>1602</v>
      </c>
      <c r="T322" s="5" t="s">
        <v>1603</v>
      </c>
      <c r="U322" s="8"/>
      <c r="V322" s="8"/>
      <c r="W322" s="8" t="s">
        <v>2966</v>
      </c>
      <c r="X322" s="8" t="s">
        <v>1604</v>
      </c>
    </row>
    <row r="323" spans="1:24" ht="22.5">
      <c r="A323" s="5" t="s">
        <v>1605</v>
      </c>
      <c r="B323" s="5" t="s">
        <v>1606</v>
      </c>
      <c r="C323" s="6" t="s">
        <v>1607</v>
      </c>
      <c r="D323" s="6"/>
      <c r="E323" s="6"/>
      <c r="F323" s="5" t="s">
        <v>1599</v>
      </c>
      <c r="G323" s="5"/>
      <c r="H323" s="6" t="s">
        <v>1608</v>
      </c>
      <c r="I323" s="5">
        <v>315</v>
      </c>
      <c r="J323" s="5">
        <v>1033</v>
      </c>
      <c r="K323" s="7" t="str">
        <f>HYPERLINK("http://www.centcols.org/util/geo/visuGen.php?code=US-NH-0315","US-NH-0315")</f>
        <v>US-NH-0315</v>
      </c>
      <c r="L323" s="8" t="s">
        <v>1609</v>
      </c>
      <c r="M323" s="9" t="s">
        <v>1610</v>
      </c>
      <c r="N323" s="8">
        <v>0</v>
      </c>
      <c r="O323" s="8">
        <v>0</v>
      </c>
      <c r="P323" s="8"/>
      <c r="Q323" s="5">
        <v>-71.8981829</v>
      </c>
      <c r="R323" s="5">
        <v>43.9887981</v>
      </c>
      <c r="S323" s="5" t="s">
        <v>1611</v>
      </c>
      <c r="T323" s="5" t="s">
        <v>1612</v>
      </c>
      <c r="U323" s="8"/>
      <c r="V323" s="8"/>
      <c r="W323" s="8" t="s">
        <v>2966</v>
      </c>
      <c r="X323" s="8" t="s">
        <v>2386</v>
      </c>
    </row>
    <row r="324" spans="1:24" ht="11.25">
      <c r="A324" s="5" t="s">
        <v>1613</v>
      </c>
      <c r="B324" s="5" t="s">
        <v>1614</v>
      </c>
      <c r="C324" s="6" t="s">
        <v>1615</v>
      </c>
      <c r="D324" s="6"/>
      <c r="E324" s="6"/>
      <c r="F324" s="5" t="s">
        <v>1599</v>
      </c>
      <c r="G324" s="5"/>
      <c r="H324" s="6" t="s">
        <v>1600</v>
      </c>
      <c r="I324" s="5">
        <v>1146</v>
      </c>
      <c r="J324" s="5">
        <v>3760</v>
      </c>
      <c r="K324" s="7" t="str">
        <f>HYPERLINK("http://www.centcols.org/util/geo/visuGen.php?code=US-NH-1146","US-NH-1146")</f>
        <v>US-NH-1146</v>
      </c>
      <c r="L324" s="8" t="s">
        <v>1616</v>
      </c>
      <c r="M324" s="8" t="s">
        <v>2473</v>
      </c>
      <c r="N324" s="8">
        <v>15</v>
      </c>
      <c r="O324" s="8">
        <v>99</v>
      </c>
      <c r="P324" s="8" t="s">
        <v>427</v>
      </c>
      <c r="Q324" s="5">
        <v>-71.2186079</v>
      </c>
      <c r="R324" s="5">
        <v>44.2513921</v>
      </c>
      <c r="S324" s="5" t="s">
        <v>1617</v>
      </c>
      <c r="T324" s="5" t="s">
        <v>1618</v>
      </c>
      <c r="U324" s="8"/>
      <c r="V324" s="8" t="s">
        <v>1505</v>
      </c>
      <c r="W324" s="8" t="s">
        <v>2966</v>
      </c>
      <c r="X324" s="8" t="s">
        <v>3085</v>
      </c>
    </row>
    <row r="325" spans="1:24" ht="11.25">
      <c r="A325" s="5" t="s">
        <v>1619</v>
      </c>
      <c r="B325" s="5" t="s">
        <v>1620</v>
      </c>
      <c r="C325" s="6" t="s">
        <v>1621</v>
      </c>
      <c r="D325" s="6"/>
      <c r="E325" s="6" t="s">
        <v>1622</v>
      </c>
      <c r="F325" s="5" t="s">
        <v>1623</v>
      </c>
      <c r="G325" s="5"/>
      <c r="H325" s="6" t="s">
        <v>3547</v>
      </c>
      <c r="I325" s="5">
        <v>1556</v>
      </c>
      <c r="J325" s="5">
        <v>5105</v>
      </c>
      <c r="K325" s="7" t="str">
        <f>HYPERLINK("http://www.centcols.org/util/geo/visuGen.php?code=US-NM-1556","US-NM-1556")</f>
        <v>US-NM-1556</v>
      </c>
      <c r="L325" s="8" t="s">
        <v>1624</v>
      </c>
      <c r="M325" s="8" t="s">
        <v>2962</v>
      </c>
      <c r="N325" s="8">
        <v>20</v>
      </c>
      <c r="O325" s="8">
        <v>99</v>
      </c>
      <c r="P325" s="8"/>
      <c r="Q325" s="5">
        <v>-107.680888</v>
      </c>
      <c r="R325" s="5">
        <v>32.45443</v>
      </c>
      <c r="S325" s="5" t="s">
        <v>1625</v>
      </c>
      <c r="T325" s="5" t="s">
        <v>1626</v>
      </c>
      <c r="U325" s="8"/>
      <c r="V325" s="8"/>
      <c r="W325" s="8" t="s">
        <v>2966</v>
      </c>
      <c r="X325" s="8" t="s">
        <v>3085</v>
      </c>
    </row>
    <row r="326" spans="1:24" ht="11.25">
      <c r="A326" s="5" t="s">
        <v>1627</v>
      </c>
      <c r="B326" s="5" t="s">
        <v>1628</v>
      </c>
      <c r="C326" s="6" t="s">
        <v>1629</v>
      </c>
      <c r="D326" s="6"/>
      <c r="E326" s="6"/>
      <c r="F326" s="5" t="s">
        <v>1623</v>
      </c>
      <c r="G326" s="5"/>
      <c r="H326" s="6" t="s">
        <v>1630</v>
      </c>
      <c r="I326" s="5">
        <v>1579</v>
      </c>
      <c r="J326" s="5">
        <v>5180</v>
      </c>
      <c r="K326" s="7" t="str">
        <f>HYPERLINK("http://www.centcols.org/util/geo/visuGen.php?code=US-NM-1579","US-NM-1579")</f>
        <v>US-NM-1579</v>
      </c>
      <c r="L326" s="8" t="s">
        <v>1631</v>
      </c>
      <c r="M326" s="8" t="s">
        <v>3222</v>
      </c>
      <c r="N326" s="8">
        <v>15</v>
      </c>
      <c r="O326" s="8">
        <v>99</v>
      </c>
      <c r="P326" s="8"/>
      <c r="Q326" s="5">
        <v>-108.988062</v>
      </c>
      <c r="R326" s="5">
        <v>31.350169</v>
      </c>
      <c r="S326" s="5" t="s">
        <v>1632</v>
      </c>
      <c r="T326" s="5" t="s">
        <v>1633</v>
      </c>
      <c r="U326" s="8"/>
      <c r="V326" s="8"/>
      <c r="W326" s="8" t="s">
        <v>2966</v>
      </c>
      <c r="X326" s="8" t="s">
        <v>1634</v>
      </c>
    </row>
    <row r="327" spans="1:24" ht="11.25">
      <c r="A327" s="5" t="s">
        <v>1635</v>
      </c>
      <c r="B327" s="5" t="s">
        <v>1636</v>
      </c>
      <c r="C327" s="6" t="s">
        <v>1637</v>
      </c>
      <c r="D327" s="6"/>
      <c r="E327" s="6"/>
      <c r="F327" s="5" t="s">
        <v>1623</v>
      </c>
      <c r="G327" s="5"/>
      <c r="H327" s="6" t="s">
        <v>1630</v>
      </c>
      <c r="I327" s="5">
        <v>1675</v>
      </c>
      <c r="J327" s="5">
        <v>5495</v>
      </c>
      <c r="K327" s="7" t="str">
        <f>HYPERLINK("http://www.centcols.org/util/geo/visuGen.php?code=US-NM-1675","US-NM-1675")</f>
        <v>US-NM-1675</v>
      </c>
      <c r="L327" s="8" t="s">
        <v>1638</v>
      </c>
      <c r="M327" s="9"/>
      <c r="N327" s="8">
        <v>20</v>
      </c>
      <c r="O327" s="8">
        <v>99</v>
      </c>
      <c r="P327" s="8"/>
      <c r="Q327" s="5">
        <v>-108.956916</v>
      </c>
      <c r="R327" s="5">
        <v>31.844311</v>
      </c>
      <c r="S327" s="5" t="s">
        <v>1639</v>
      </c>
      <c r="T327" s="5" t="s">
        <v>1640</v>
      </c>
      <c r="U327" s="8"/>
      <c r="V327" s="8"/>
      <c r="W327" s="8" t="s">
        <v>2966</v>
      </c>
      <c r="X327" s="8" t="s">
        <v>1641</v>
      </c>
    </row>
    <row r="328" spans="1:24" ht="11.25">
      <c r="A328" s="5" t="s">
        <v>1642</v>
      </c>
      <c r="B328" s="5" t="s">
        <v>1643</v>
      </c>
      <c r="C328" s="6" t="s">
        <v>1644</v>
      </c>
      <c r="D328" s="6"/>
      <c r="E328" s="6"/>
      <c r="F328" s="5" t="s">
        <v>1623</v>
      </c>
      <c r="G328" s="5"/>
      <c r="H328" s="6" t="s">
        <v>4022</v>
      </c>
      <c r="I328" s="5">
        <v>1766</v>
      </c>
      <c r="J328" s="5">
        <v>5794</v>
      </c>
      <c r="K328" s="7" t="str">
        <f>HYPERLINK("http://www.centcols.org/util/geo/visuGen.php?code=US-NM-1766","US-NM-1766")</f>
        <v>US-NM-1766</v>
      </c>
      <c r="L328" s="8" t="s">
        <v>1645</v>
      </c>
      <c r="M328" s="8" t="s">
        <v>2962</v>
      </c>
      <c r="N328" s="8">
        <v>20</v>
      </c>
      <c r="O328" s="8">
        <v>99</v>
      </c>
      <c r="P328" s="8"/>
      <c r="Q328" s="5">
        <v>-105.204508</v>
      </c>
      <c r="R328" s="5">
        <v>35.216941</v>
      </c>
      <c r="S328" s="5" t="s">
        <v>1646</v>
      </c>
      <c r="T328" s="5" t="s">
        <v>1647</v>
      </c>
      <c r="U328" s="8"/>
      <c r="V328" s="8"/>
      <c r="W328" s="8" t="s">
        <v>2966</v>
      </c>
      <c r="X328" s="8" t="s">
        <v>2967</v>
      </c>
    </row>
    <row r="329" spans="1:24" ht="11.25">
      <c r="A329" s="5" t="s">
        <v>1648</v>
      </c>
      <c r="B329" s="5" t="s">
        <v>1649</v>
      </c>
      <c r="C329" s="6" t="s">
        <v>1650</v>
      </c>
      <c r="D329" s="6"/>
      <c r="E329" s="6"/>
      <c r="F329" s="5" t="s">
        <v>1623</v>
      </c>
      <c r="G329" s="5"/>
      <c r="H329" s="6" t="s">
        <v>1651</v>
      </c>
      <c r="I329" s="5">
        <v>1778</v>
      </c>
      <c r="J329" s="5">
        <v>5833</v>
      </c>
      <c r="K329" s="7" t="str">
        <f>HYPERLINK("http://www.centcols.org/util/geo/visuGen.php?code=US-NM-1778","US-NM-1778")</f>
        <v>US-NM-1778</v>
      </c>
      <c r="L329" s="8" t="s">
        <v>1652</v>
      </c>
      <c r="M329" s="8" t="s">
        <v>3222</v>
      </c>
      <c r="N329" s="8">
        <v>15</v>
      </c>
      <c r="O329" s="8">
        <v>99</v>
      </c>
      <c r="P329" s="8"/>
      <c r="Q329" s="5">
        <v>-106.4195049</v>
      </c>
      <c r="R329" s="5">
        <v>34.4285451</v>
      </c>
      <c r="S329" s="5" t="s">
        <v>1653</v>
      </c>
      <c r="T329" s="5" t="s">
        <v>1654</v>
      </c>
      <c r="U329" s="8"/>
      <c r="V329" s="8"/>
      <c r="W329" s="8" t="s">
        <v>2966</v>
      </c>
      <c r="X329" s="8" t="s">
        <v>1655</v>
      </c>
    </row>
    <row r="330" spans="1:24" ht="11.25">
      <c r="A330" s="5" t="s">
        <v>1656</v>
      </c>
      <c r="B330" s="5" t="s">
        <v>1657</v>
      </c>
      <c r="C330" s="6" t="s">
        <v>1658</v>
      </c>
      <c r="D330" s="6"/>
      <c r="E330" s="6"/>
      <c r="F330" s="5" t="s">
        <v>1623</v>
      </c>
      <c r="G330" s="5"/>
      <c r="H330" s="6" t="s">
        <v>1659</v>
      </c>
      <c r="I330" s="5">
        <v>1889</v>
      </c>
      <c r="J330" s="5">
        <v>6197</v>
      </c>
      <c r="K330" s="7" t="str">
        <f>HYPERLINK("http://www.centcols.org/util/geo/visuGen.php?code=US-NM-1889","US-NM-1889")</f>
        <v>US-NM-1889</v>
      </c>
      <c r="L330" s="8" t="s">
        <v>1660</v>
      </c>
      <c r="M330" s="8" t="s">
        <v>2988</v>
      </c>
      <c r="N330" s="8">
        <v>10</v>
      </c>
      <c r="O330" s="8">
        <v>35</v>
      </c>
      <c r="P330" s="8"/>
      <c r="Q330" s="5">
        <v>-107.5935299</v>
      </c>
      <c r="R330" s="5">
        <v>33.569491</v>
      </c>
      <c r="S330" s="5" t="s">
        <v>1661</v>
      </c>
      <c r="T330" s="5" t="s">
        <v>1662</v>
      </c>
      <c r="U330" s="8"/>
      <c r="V330" s="8"/>
      <c r="W330" s="8" t="s">
        <v>2966</v>
      </c>
      <c r="X330" s="8" t="s">
        <v>2386</v>
      </c>
    </row>
    <row r="331" spans="1:24" ht="11.25">
      <c r="A331" s="5" t="s">
        <v>1663</v>
      </c>
      <c r="B331" s="5" t="s">
        <v>1664</v>
      </c>
      <c r="C331" s="6" t="s">
        <v>1665</v>
      </c>
      <c r="D331" s="6"/>
      <c r="E331" s="6"/>
      <c r="F331" s="5" t="s">
        <v>1623</v>
      </c>
      <c r="G331" s="5"/>
      <c r="H331" s="6" t="s">
        <v>1666</v>
      </c>
      <c r="I331" s="5">
        <v>1910</v>
      </c>
      <c r="J331" s="5">
        <v>6266</v>
      </c>
      <c r="K331" s="7" t="str">
        <f>HYPERLINK("http://www.centcols.org/util/geo/visuGen.php?code=US-NM-1910","US-NM-1910")</f>
        <v>US-NM-1910</v>
      </c>
      <c r="L331" s="8" t="s">
        <v>1667</v>
      </c>
      <c r="M331" s="8" t="s">
        <v>2988</v>
      </c>
      <c r="N331" s="8">
        <v>10</v>
      </c>
      <c r="O331" s="8">
        <v>35</v>
      </c>
      <c r="P331" s="8"/>
      <c r="Q331" s="5">
        <v>-105.9526529</v>
      </c>
      <c r="R331" s="5">
        <v>35.2905402</v>
      </c>
      <c r="S331" s="5" t="s">
        <v>1668</v>
      </c>
      <c r="T331" s="5" t="s">
        <v>1669</v>
      </c>
      <c r="U331" s="8"/>
      <c r="V331" s="8"/>
      <c r="W331" s="8" t="s">
        <v>2966</v>
      </c>
      <c r="X331" s="8" t="s">
        <v>2991</v>
      </c>
    </row>
    <row r="332" spans="1:24" ht="11.25">
      <c r="A332" s="5" t="s">
        <v>1670</v>
      </c>
      <c r="B332" s="5" t="s">
        <v>1671</v>
      </c>
      <c r="C332" s="6" t="s">
        <v>1672</v>
      </c>
      <c r="D332" s="6"/>
      <c r="E332" s="6" t="s">
        <v>1673</v>
      </c>
      <c r="F332" s="5" t="s">
        <v>1623</v>
      </c>
      <c r="G332" s="5"/>
      <c r="H332" s="6" t="s">
        <v>520</v>
      </c>
      <c r="I332" s="5">
        <v>1959</v>
      </c>
      <c r="J332" s="5">
        <v>6427</v>
      </c>
      <c r="K332" s="7" t="str">
        <f>HYPERLINK("http://www.centcols.org/util/geo/visuGen.php?code=US-NM-1959","US-NM-1959")</f>
        <v>US-NM-1959</v>
      </c>
      <c r="L332" s="8" t="s">
        <v>1674</v>
      </c>
      <c r="M332" s="9" t="s">
        <v>3509</v>
      </c>
      <c r="N332" s="8">
        <v>0</v>
      </c>
      <c r="O332" s="8">
        <v>0</v>
      </c>
      <c r="P332" s="8"/>
      <c r="Q332" s="5">
        <v>-107.7087179</v>
      </c>
      <c r="R332" s="5">
        <v>36.603982</v>
      </c>
      <c r="S332" s="5" t="s">
        <v>1675</v>
      </c>
      <c r="T332" s="5" t="s">
        <v>1676</v>
      </c>
      <c r="U332" s="8"/>
      <c r="V332" s="8"/>
      <c r="W332" s="8" t="s">
        <v>2966</v>
      </c>
      <c r="X332" s="8" t="s">
        <v>3202</v>
      </c>
    </row>
    <row r="333" spans="1:24" ht="11.25">
      <c r="A333" s="5" t="s">
        <v>1677</v>
      </c>
      <c r="B333" s="5" t="s">
        <v>1678</v>
      </c>
      <c r="C333" s="6" t="s">
        <v>1679</v>
      </c>
      <c r="D333" s="6"/>
      <c r="E333" s="6"/>
      <c r="F333" s="5" t="s">
        <v>1623</v>
      </c>
      <c r="G333" s="5"/>
      <c r="H333" s="6" t="s">
        <v>3547</v>
      </c>
      <c r="I333" s="5">
        <v>1994</v>
      </c>
      <c r="J333" s="5">
        <v>6542</v>
      </c>
      <c r="K333" s="7" t="str">
        <f>HYPERLINK("http://www.centcols.org/util/geo/visuGen.php?code=US-NM-1994","US-NM-1994")</f>
        <v>US-NM-1994</v>
      </c>
      <c r="L333" s="8" t="s">
        <v>1680</v>
      </c>
      <c r="M333" s="8" t="s">
        <v>3113</v>
      </c>
      <c r="N333" s="8">
        <v>10</v>
      </c>
      <c r="O333" s="8">
        <v>35</v>
      </c>
      <c r="P333" s="8" t="s">
        <v>427</v>
      </c>
      <c r="Q333" s="5">
        <v>-106.7261079</v>
      </c>
      <c r="R333" s="5">
        <v>33.229721</v>
      </c>
      <c r="S333" s="5" t="s">
        <v>1681</v>
      </c>
      <c r="T333" s="5" t="s">
        <v>1682</v>
      </c>
      <c r="U333" s="8"/>
      <c r="V333" s="8" t="s">
        <v>1683</v>
      </c>
      <c r="W333" s="8" t="s">
        <v>2966</v>
      </c>
      <c r="X333" s="8" t="s">
        <v>3085</v>
      </c>
    </row>
    <row r="334" spans="1:24" ht="11.25">
      <c r="A334" s="5" t="s">
        <v>1684</v>
      </c>
      <c r="B334" s="5" t="s">
        <v>1685</v>
      </c>
      <c r="C334" s="6" t="s">
        <v>1686</v>
      </c>
      <c r="D334" s="6"/>
      <c r="E334" s="6"/>
      <c r="F334" s="5" t="s">
        <v>1623</v>
      </c>
      <c r="G334" s="5"/>
      <c r="H334" s="6" t="s">
        <v>1659</v>
      </c>
      <c r="I334" s="5">
        <v>2177</v>
      </c>
      <c r="J334" s="5">
        <v>7142</v>
      </c>
      <c r="K334" s="7" t="str">
        <f>HYPERLINK("http://www.centcols.org/util/geo/visuGen.php?code=US-NM-2177","US-NM-2177")</f>
        <v>US-NM-2177</v>
      </c>
      <c r="L334" s="8" t="s">
        <v>1687</v>
      </c>
      <c r="M334" s="8" t="s">
        <v>2988</v>
      </c>
      <c r="N334" s="8">
        <v>10</v>
      </c>
      <c r="O334" s="8">
        <v>35</v>
      </c>
      <c r="P334" s="8"/>
      <c r="Q334" s="5">
        <v>-107.5231489</v>
      </c>
      <c r="R334" s="5">
        <v>33.7147942</v>
      </c>
      <c r="S334" s="5" t="s">
        <v>1688</v>
      </c>
      <c r="T334" s="5" t="s">
        <v>1689</v>
      </c>
      <c r="U334" s="8"/>
      <c r="V334" s="8"/>
      <c r="W334" s="8" t="s">
        <v>2966</v>
      </c>
      <c r="X334" s="8" t="s">
        <v>1690</v>
      </c>
    </row>
    <row r="335" spans="1:24" ht="11.25">
      <c r="A335" s="5" t="s">
        <v>1691</v>
      </c>
      <c r="B335" s="5" t="s">
        <v>1692</v>
      </c>
      <c r="C335" s="6" t="s">
        <v>1693</v>
      </c>
      <c r="D335" s="6"/>
      <c r="E335" s="6"/>
      <c r="F335" s="5" t="s">
        <v>1623</v>
      </c>
      <c r="G335" s="5"/>
      <c r="H335" s="6" t="s">
        <v>1694</v>
      </c>
      <c r="I335" s="5">
        <v>2215</v>
      </c>
      <c r="J335" s="5">
        <v>7267</v>
      </c>
      <c r="K335" s="7" t="str">
        <f>HYPERLINK("http://www.centcols.org/util/geo/visuGen.php?code=US-NM-2215","US-NM-2215")</f>
        <v>US-NM-2215</v>
      </c>
      <c r="L335" s="8" t="s">
        <v>1695</v>
      </c>
      <c r="M335" s="9" t="s">
        <v>1696</v>
      </c>
      <c r="N335" s="8">
        <v>0</v>
      </c>
      <c r="O335" s="8">
        <v>0</v>
      </c>
      <c r="P335" s="8"/>
      <c r="Q335" s="5">
        <v>-108.3083279</v>
      </c>
      <c r="R335" s="5">
        <v>35.4219421</v>
      </c>
      <c r="S335" s="5" t="s">
        <v>1697</v>
      </c>
      <c r="T335" s="5" t="s">
        <v>1698</v>
      </c>
      <c r="U335" s="8"/>
      <c r="V335" s="9"/>
      <c r="W335" s="8" t="s">
        <v>2966</v>
      </c>
      <c r="X335" s="8" t="s">
        <v>3085</v>
      </c>
    </row>
    <row r="336" spans="1:24" ht="11.25">
      <c r="A336" s="5" t="s">
        <v>1699</v>
      </c>
      <c r="B336" s="5" t="s">
        <v>1700</v>
      </c>
      <c r="C336" s="6" t="s">
        <v>1701</v>
      </c>
      <c r="D336" s="6"/>
      <c r="E336" s="6"/>
      <c r="F336" s="5" t="s">
        <v>1623</v>
      </c>
      <c r="G336" s="5"/>
      <c r="H336" s="6" t="s">
        <v>1702</v>
      </c>
      <c r="I336" s="5">
        <v>2271</v>
      </c>
      <c r="J336" s="5">
        <v>7451</v>
      </c>
      <c r="K336" s="7" t="str">
        <f>HYPERLINK("http://www.centcols.org/util/geo/visuGen.php?code=US-NM-2271","US-NM-2271")</f>
        <v>US-NM-2271</v>
      </c>
      <c r="L336" s="8" t="s">
        <v>1703</v>
      </c>
      <c r="M336" s="9" t="s">
        <v>1704</v>
      </c>
      <c r="N336" s="8">
        <v>0</v>
      </c>
      <c r="O336" s="8">
        <v>0</v>
      </c>
      <c r="P336" s="8"/>
      <c r="Q336" s="5">
        <v>-108.1425419</v>
      </c>
      <c r="R336" s="5">
        <v>34.0951011</v>
      </c>
      <c r="S336" s="5" t="s">
        <v>1705</v>
      </c>
      <c r="T336" s="5" t="s">
        <v>1706</v>
      </c>
      <c r="U336" s="8"/>
      <c r="V336" s="8"/>
      <c r="W336" s="8" t="s">
        <v>2966</v>
      </c>
      <c r="X336" s="8" t="s">
        <v>3202</v>
      </c>
    </row>
    <row r="337" spans="1:24" ht="11.25">
      <c r="A337" s="5" t="s">
        <v>1707</v>
      </c>
      <c r="B337" s="5" t="s">
        <v>1708</v>
      </c>
      <c r="C337" s="6" t="s">
        <v>1709</v>
      </c>
      <c r="D337" s="6"/>
      <c r="E337" s="6"/>
      <c r="F337" s="5" t="s">
        <v>1623</v>
      </c>
      <c r="G337" s="5"/>
      <c r="H337" s="6" t="s">
        <v>1710</v>
      </c>
      <c r="I337" s="5">
        <v>2284</v>
      </c>
      <c r="J337" s="5">
        <v>7493</v>
      </c>
      <c r="K337" s="7" t="str">
        <f>HYPERLINK("http://www.centcols.org/util/geo/visuGen.php?code=US-NM-2284","US-NM-2284")</f>
        <v>US-NM-2284</v>
      </c>
      <c r="L337" s="8" t="s">
        <v>1711</v>
      </c>
      <c r="M337" s="8" t="s">
        <v>3222</v>
      </c>
      <c r="N337" s="8">
        <v>15</v>
      </c>
      <c r="O337" s="8">
        <v>99</v>
      </c>
      <c r="P337" s="8" t="s">
        <v>3338</v>
      </c>
      <c r="Q337" s="5">
        <v>-108.3684939</v>
      </c>
      <c r="R337" s="5">
        <v>33.0167821</v>
      </c>
      <c r="S337" s="5" t="s">
        <v>1712</v>
      </c>
      <c r="T337" s="5" t="s">
        <v>1713</v>
      </c>
      <c r="U337" s="8"/>
      <c r="V337" s="8" t="s">
        <v>1714</v>
      </c>
      <c r="W337" s="8" t="s">
        <v>2966</v>
      </c>
      <c r="X337" s="8" t="s">
        <v>2967</v>
      </c>
    </row>
    <row r="338" spans="1:24" ht="11.25">
      <c r="A338" s="5" t="s">
        <v>1715</v>
      </c>
      <c r="B338" s="5" t="s">
        <v>1716</v>
      </c>
      <c r="C338" s="6" t="s">
        <v>1717</v>
      </c>
      <c r="D338" s="6"/>
      <c r="E338" s="6"/>
      <c r="F338" s="5" t="s">
        <v>1623</v>
      </c>
      <c r="G338" s="5"/>
      <c r="H338" s="6" t="s">
        <v>1702</v>
      </c>
      <c r="I338" s="5">
        <v>2376</v>
      </c>
      <c r="J338" s="5">
        <v>7795</v>
      </c>
      <c r="K338" s="7" t="str">
        <f>HYPERLINK("http://www.centcols.org/util/geo/visuGen.php?code=US-NM-2376","US-NM-2376")</f>
        <v>US-NM-2376</v>
      </c>
      <c r="L338" s="8" t="s">
        <v>1718</v>
      </c>
      <c r="M338" s="8" t="s">
        <v>3113</v>
      </c>
      <c r="N338" s="8">
        <v>10</v>
      </c>
      <c r="O338" s="8">
        <v>35</v>
      </c>
      <c r="P338" s="8"/>
      <c r="Q338" s="5">
        <v>-108.1805369</v>
      </c>
      <c r="R338" s="5">
        <v>34.0038731</v>
      </c>
      <c r="S338" s="5" t="s">
        <v>1719</v>
      </c>
      <c r="T338" s="5" t="s">
        <v>1720</v>
      </c>
      <c r="U338" s="8"/>
      <c r="V338" s="8"/>
      <c r="W338" s="8" t="s">
        <v>2966</v>
      </c>
      <c r="X338" s="8" t="s">
        <v>2548</v>
      </c>
    </row>
    <row r="339" spans="1:24" ht="11.25">
      <c r="A339" s="5" t="s">
        <v>1721</v>
      </c>
      <c r="B339" s="5" t="s">
        <v>1722</v>
      </c>
      <c r="C339" s="6" t="s">
        <v>1723</v>
      </c>
      <c r="D339" s="6"/>
      <c r="E339" s="6"/>
      <c r="F339" s="5" t="s">
        <v>1623</v>
      </c>
      <c r="G339" s="5"/>
      <c r="H339" s="6" t="s">
        <v>1702</v>
      </c>
      <c r="I339" s="5">
        <v>2550</v>
      </c>
      <c r="J339" s="5">
        <v>8366</v>
      </c>
      <c r="K339" s="7" t="str">
        <f>HYPERLINK("http://www.centcols.org/util/geo/visuGen.php?code=US-NM-2550","US-NM-2550")</f>
        <v>US-NM-2550</v>
      </c>
      <c r="L339" s="8" t="s">
        <v>1724</v>
      </c>
      <c r="M339" s="8" t="s">
        <v>2988</v>
      </c>
      <c r="N339" s="8">
        <v>10</v>
      </c>
      <c r="O339" s="8">
        <v>35</v>
      </c>
      <c r="P339" s="8"/>
      <c r="Q339" s="5">
        <v>-108.69137</v>
      </c>
      <c r="R339" s="5">
        <v>33.5092431</v>
      </c>
      <c r="S339" s="5" t="s">
        <v>1725</v>
      </c>
      <c r="T339" s="5" t="s">
        <v>1726</v>
      </c>
      <c r="U339" s="8"/>
      <c r="V339" s="8"/>
      <c r="W339" s="8" t="s">
        <v>2966</v>
      </c>
      <c r="X339" s="8" t="s">
        <v>1727</v>
      </c>
    </row>
    <row r="340" spans="1:24" ht="11.25">
      <c r="A340" s="5" t="s">
        <v>1728</v>
      </c>
      <c r="B340" s="5" t="s">
        <v>1729</v>
      </c>
      <c r="C340" s="6" t="s">
        <v>1730</v>
      </c>
      <c r="D340" s="6"/>
      <c r="E340" s="6"/>
      <c r="F340" s="5" t="s">
        <v>1623</v>
      </c>
      <c r="G340" s="5"/>
      <c r="H340" s="6" t="s">
        <v>1731</v>
      </c>
      <c r="I340" s="5">
        <v>2560</v>
      </c>
      <c r="J340" s="5">
        <v>8399</v>
      </c>
      <c r="K340" s="7" t="str">
        <f>HYPERLINK("http://www.centcols.org/util/geo/visuGen.php?code=US-NM-2560a","US-NM-2560a")</f>
        <v>US-NM-2560a</v>
      </c>
      <c r="L340" s="8" t="s">
        <v>1732</v>
      </c>
      <c r="M340" s="9"/>
      <c r="N340" s="8">
        <v>10</v>
      </c>
      <c r="O340" s="8">
        <v>35</v>
      </c>
      <c r="P340" s="8"/>
      <c r="Q340" s="5">
        <v>-106.762129</v>
      </c>
      <c r="R340" s="5">
        <v>36.8213706</v>
      </c>
      <c r="S340" s="5" t="s">
        <v>1733</v>
      </c>
      <c r="T340" s="5" t="s">
        <v>1734</v>
      </c>
      <c r="U340" s="8"/>
      <c r="V340" s="8"/>
      <c r="W340" s="8" t="s">
        <v>2966</v>
      </c>
      <c r="X340" s="8" t="s">
        <v>3011</v>
      </c>
    </row>
    <row r="341" spans="1:24" ht="11.25">
      <c r="A341" s="5" t="s">
        <v>1735</v>
      </c>
      <c r="B341" s="5" t="s">
        <v>1736</v>
      </c>
      <c r="C341" s="6" t="s">
        <v>1737</v>
      </c>
      <c r="D341" s="6"/>
      <c r="E341" s="6"/>
      <c r="F341" s="5" t="s">
        <v>1623</v>
      </c>
      <c r="G341" s="5"/>
      <c r="H341" s="6" t="s">
        <v>2372</v>
      </c>
      <c r="I341" s="5">
        <v>2609</v>
      </c>
      <c r="J341" s="5">
        <v>8560</v>
      </c>
      <c r="K341" s="7" t="str">
        <f>HYPERLINK("http://www.centcols.org/util/geo/visuGen.php?code=US-NM-2609","US-NM-2609")</f>
        <v>US-NM-2609</v>
      </c>
      <c r="L341" s="8" t="s">
        <v>1738</v>
      </c>
      <c r="M341" s="9" t="s">
        <v>1739</v>
      </c>
      <c r="N341" s="8">
        <v>0</v>
      </c>
      <c r="O341" s="8">
        <v>0</v>
      </c>
      <c r="P341" s="8"/>
      <c r="Q341" s="5">
        <v>-105.5932479</v>
      </c>
      <c r="R341" s="5">
        <v>36.2116121</v>
      </c>
      <c r="S341" s="5" t="s">
        <v>1740</v>
      </c>
      <c r="T341" s="5" t="s">
        <v>1741</v>
      </c>
      <c r="U341" s="8"/>
      <c r="V341" s="8"/>
      <c r="W341" s="8" t="s">
        <v>2966</v>
      </c>
      <c r="X341" s="8" t="s">
        <v>2967</v>
      </c>
    </row>
    <row r="342" spans="1:24" ht="11.25">
      <c r="A342" s="5" t="s">
        <v>1742</v>
      </c>
      <c r="B342" s="5" t="s">
        <v>1743</v>
      </c>
      <c r="C342" s="6" t="s">
        <v>1744</v>
      </c>
      <c r="D342" s="6"/>
      <c r="E342" s="6"/>
      <c r="F342" s="5" t="s">
        <v>1623</v>
      </c>
      <c r="G342" s="5"/>
      <c r="H342" s="6" t="s">
        <v>1745</v>
      </c>
      <c r="I342" s="5">
        <v>3227</v>
      </c>
      <c r="J342" s="5">
        <v>10587</v>
      </c>
      <c r="K342" s="7" t="str">
        <f>HYPERLINK("http://www.centcols.org/util/geo/visuGen.php?code=US-NM-3227","US-NM-3227")</f>
        <v>US-NM-3227</v>
      </c>
      <c r="L342" s="8" t="s">
        <v>1746</v>
      </c>
      <c r="M342" s="9" t="s">
        <v>1747</v>
      </c>
      <c r="N342" s="8">
        <v>15</v>
      </c>
      <c r="O342" s="8">
        <v>99</v>
      </c>
      <c r="P342" s="8"/>
      <c r="Q342" s="5">
        <v>-106.4479109</v>
      </c>
      <c r="R342" s="5">
        <v>35.209035</v>
      </c>
      <c r="S342" s="5" t="s">
        <v>1748</v>
      </c>
      <c r="T342" s="5" t="s">
        <v>1749</v>
      </c>
      <c r="U342" s="8" t="s">
        <v>3622</v>
      </c>
      <c r="V342" s="8" t="s">
        <v>1750</v>
      </c>
      <c r="W342" s="8" t="s">
        <v>2966</v>
      </c>
      <c r="X342" s="8" t="s">
        <v>2967</v>
      </c>
    </row>
    <row r="343" spans="1:24" ht="11.25">
      <c r="A343" s="5" t="s">
        <v>1751</v>
      </c>
      <c r="B343" s="5" t="s">
        <v>1752</v>
      </c>
      <c r="C343" s="6" t="s">
        <v>1753</v>
      </c>
      <c r="D343" s="6"/>
      <c r="E343" s="6" t="s">
        <v>1754</v>
      </c>
      <c r="F343" s="5" t="s">
        <v>1755</v>
      </c>
      <c r="G343" s="5"/>
      <c r="H343" s="6" t="s">
        <v>3457</v>
      </c>
      <c r="I343" s="5">
        <v>1493</v>
      </c>
      <c r="J343" s="5">
        <v>4898</v>
      </c>
      <c r="K343" s="7" t="str">
        <f>HYPERLINK("http://www.centcols.org/util/geo/visuGen.php?code=US-NV-1493","US-NV-1493")</f>
        <v>US-NV-1493</v>
      </c>
      <c r="L343" s="8" t="s">
        <v>1756</v>
      </c>
      <c r="M343" s="9" t="s">
        <v>1757</v>
      </c>
      <c r="N343" s="8">
        <v>0</v>
      </c>
      <c r="O343" s="8">
        <v>0</v>
      </c>
      <c r="P343" s="8"/>
      <c r="Q343" s="5">
        <v>-117.7055479</v>
      </c>
      <c r="R343" s="5">
        <v>41.3233622</v>
      </c>
      <c r="S343" s="5" t="s">
        <v>1758</v>
      </c>
      <c r="T343" s="5" t="s">
        <v>1759</v>
      </c>
      <c r="U343" s="8" t="s">
        <v>3622</v>
      </c>
      <c r="V343" s="8"/>
      <c r="W343" s="8" t="s">
        <v>2966</v>
      </c>
      <c r="X343" s="8" t="s">
        <v>2967</v>
      </c>
    </row>
    <row r="344" spans="1:24" ht="11.25">
      <c r="A344" s="5" t="s">
        <v>1760</v>
      </c>
      <c r="B344" s="5" t="s">
        <v>1761</v>
      </c>
      <c r="C344" s="6" t="s">
        <v>1762</v>
      </c>
      <c r="D344" s="6"/>
      <c r="E344" s="6"/>
      <c r="F344" s="5" t="s">
        <v>1755</v>
      </c>
      <c r="G344" s="5"/>
      <c r="H344" s="6" t="s">
        <v>1763</v>
      </c>
      <c r="I344" s="5">
        <v>1532</v>
      </c>
      <c r="J344" s="5">
        <v>5026</v>
      </c>
      <c r="K344" s="7" t="str">
        <f>HYPERLINK("http://www.centcols.org/util/geo/visuGen.php?code=US-NV-1532","US-NV-1532")</f>
        <v>US-NV-1532</v>
      </c>
      <c r="L344" s="8" t="s">
        <v>1764</v>
      </c>
      <c r="M344" s="8" t="s">
        <v>2988</v>
      </c>
      <c r="N344" s="8">
        <v>10</v>
      </c>
      <c r="O344" s="8">
        <v>35</v>
      </c>
      <c r="P344" s="8"/>
      <c r="Q344" s="5">
        <v>-116.8013868</v>
      </c>
      <c r="R344" s="5">
        <v>40.1866691</v>
      </c>
      <c r="S344" s="5" t="s">
        <v>1765</v>
      </c>
      <c r="T344" s="5" t="s">
        <v>1766</v>
      </c>
      <c r="U344" s="8"/>
      <c r="V344" s="8"/>
      <c r="W344" s="8" t="s">
        <v>2966</v>
      </c>
      <c r="X344" s="8" t="s">
        <v>2991</v>
      </c>
    </row>
    <row r="345" spans="1:24" ht="11.25">
      <c r="A345" s="5" t="s">
        <v>1767</v>
      </c>
      <c r="B345" s="5" t="s">
        <v>1768</v>
      </c>
      <c r="C345" s="6" t="s">
        <v>1769</v>
      </c>
      <c r="D345" s="6"/>
      <c r="E345" s="6"/>
      <c r="F345" s="5" t="s">
        <v>1755</v>
      </c>
      <c r="G345" s="5"/>
      <c r="H345" s="6" t="s">
        <v>1770</v>
      </c>
      <c r="I345" s="5">
        <v>1674</v>
      </c>
      <c r="J345" s="5">
        <v>5492</v>
      </c>
      <c r="K345" s="7" t="str">
        <f>HYPERLINK("http://www.centcols.org/util/geo/visuGen.php?code=US-NV-1674","US-NV-1674")</f>
        <v>US-NV-1674</v>
      </c>
      <c r="L345" s="8" t="s">
        <v>1771</v>
      </c>
      <c r="M345" s="8" t="s">
        <v>2988</v>
      </c>
      <c r="N345" s="8">
        <v>10</v>
      </c>
      <c r="O345" s="8">
        <v>35</v>
      </c>
      <c r="P345" s="8" t="s">
        <v>427</v>
      </c>
      <c r="Q345" s="5">
        <v>-116.2462299</v>
      </c>
      <c r="R345" s="5">
        <v>37.0965241</v>
      </c>
      <c r="S345" s="5" t="s">
        <v>1772</v>
      </c>
      <c r="T345" s="5" t="s">
        <v>1773</v>
      </c>
      <c r="U345" s="8"/>
      <c r="V345" s="8" t="s">
        <v>1774</v>
      </c>
      <c r="W345" s="8" t="s">
        <v>2966</v>
      </c>
      <c r="X345" s="8" t="s">
        <v>2991</v>
      </c>
    </row>
    <row r="346" spans="1:24" ht="11.25">
      <c r="A346" s="5" t="s">
        <v>1775</v>
      </c>
      <c r="B346" s="5" t="s">
        <v>1776</v>
      </c>
      <c r="C346" s="6" t="s">
        <v>1777</v>
      </c>
      <c r="D346" s="6"/>
      <c r="E346" s="6"/>
      <c r="F346" s="5" t="s">
        <v>1755</v>
      </c>
      <c r="G346" s="5"/>
      <c r="H346" s="6" t="s">
        <v>1778</v>
      </c>
      <c r="I346" s="5">
        <v>1692</v>
      </c>
      <c r="J346" s="5">
        <v>5551</v>
      </c>
      <c r="K346" s="7" t="str">
        <f>HYPERLINK("http://www.centcols.org/util/geo/visuGen.php?code=US-NV-1692","US-NV-1692")</f>
        <v>US-NV-1692</v>
      </c>
      <c r="L346" s="8" t="s">
        <v>1779</v>
      </c>
      <c r="M346" s="8" t="s">
        <v>2988</v>
      </c>
      <c r="N346" s="8">
        <v>10</v>
      </c>
      <c r="O346" s="8">
        <v>35</v>
      </c>
      <c r="P346" s="8"/>
      <c r="Q346" s="5">
        <v>-119.7832689</v>
      </c>
      <c r="R346" s="5">
        <v>39.2203361</v>
      </c>
      <c r="S346" s="5" t="s">
        <v>1780</v>
      </c>
      <c r="T346" s="5" t="s">
        <v>1781</v>
      </c>
      <c r="U346" s="8"/>
      <c r="V346" s="8"/>
      <c r="W346" s="8" t="s">
        <v>2966</v>
      </c>
      <c r="X346" s="8" t="s">
        <v>3497</v>
      </c>
    </row>
    <row r="347" spans="1:24" ht="11.25">
      <c r="A347" s="5" t="s">
        <v>1782</v>
      </c>
      <c r="B347" s="5" t="s">
        <v>1783</v>
      </c>
      <c r="C347" s="6" t="s">
        <v>1784</v>
      </c>
      <c r="D347" s="6"/>
      <c r="E347" s="6"/>
      <c r="F347" s="5" t="s">
        <v>1755</v>
      </c>
      <c r="G347" s="5"/>
      <c r="H347" s="6" t="s">
        <v>1778</v>
      </c>
      <c r="I347" s="5">
        <v>1785</v>
      </c>
      <c r="J347" s="5">
        <v>5856</v>
      </c>
      <c r="K347" s="7" t="str">
        <f>HYPERLINK("http://www.centcols.org/util/geo/visuGen.php?code=US-NV-1785a","US-NV-1785a")</f>
        <v>US-NV-1785a</v>
      </c>
      <c r="L347" s="8" t="s">
        <v>1785</v>
      </c>
      <c r="M347" s="8" t="s">
        <v>2988</v>
      </c>
      <c r="N347" s="8">
        <v>10</v>
      </c>
      <c r="O347" s="8">
        <v>35</v>
      </c>
      <c r="P347" s="8"/>
      <c r="Q347" s="5">
        <v>-119.6629589</v>
      </c>
      <c r="R347" s="5">
        <v>41.3402321</v>
      </c>
      <c r="S347" s="5" t="s">
        <v>1786</v>
      </c>
      <c r="T347" s="5" t="s">
        <v>1787</v>
      </c>
      <c r="U347" s="8"/>
      <c r="V347" s="8"/>
      <c r="W347" s="8" t="s">
        <v>2966</v>
      </c>
      <c r="X347" s="8" t="s">
        <v>3202</v>
      </c>
    </row>
    <row r="348" spans="1:24" ht="22.5">
      <c r="A348" s="5" t="s">
        <v>1788</v>
      </c>
      <c r="B348" s="5" t="s">
        <v>1789</v>
      </c>
      <c r="C348" s="6" t="s">
        <v>1380</v>
      </c>
      <c r="D348" s="6"/>
      <c r="E348" s="6"/>
      <c r="F348" s="5" t="s">
        <v>1755</v>
      </c>
      <c r="G348" s="5"/>
      <c r="H348" s="6" t="s">
        <v>1790</v>
      </c>
      <c r="I348" s="5">
        <v>1849</v>
      </c>
      <c r="J348" s="5">
        <v>6066</v>
      </c>
      <c r="K348" s="7" t="str">
        <f>HYPERLINK("http://www.centcols.org/util/geo/visuGen.php?code=US-NV-1849","US-NV-1849")</f>
        <v>US-NV-1849</v>
      </c>
      <c r="L348" s="8" t="s">
        <v>1791</v>
      </c>
      <c r="M348" s="9" t="s">
        <v>1792</v>
      </c>
      <c r="N348" s="8">
        <v>0</v>
      </c>
      <c r="O348" s="8">
        <v>0</v>
      </c>
      <c r="P348" s="8"/>
      <c r="Q348" s="5">
        <v>-119.657488</v>
      </c>
      <c r="R348" s="5">
        <v>39.295422</v>
      </c>
      <c r="S348" s="5" t="s">
        <v>1793</v>
      </c>
      <c r="T348" s="5" t="s">
        <v>1794</v>
      </c>
      <c r="U348" s="8"/>
      <c r="V348" s="8"/>
      <c r="W348" s="8" t="s">
        <v>2966</v>
      </c>
      <c r="X348" s="8" t="s">
        <v>2991</v>
      </c>
    </row>
    <row r="349" spans="1:24" ht="11.25">
      <c r="A349" s="5" t="s">
        <v>1795</v>
      </c>
      <c r="B349" s="5" t="s">
        <v>1796</v>
      </c>
      <c r="C349" s="6" t="s">
        <v>1797</v>
      </c>
      <c r="D349" s="6"/>
      <c r="E349" s="6" t="s">
        <v>1798</v>
      </c>
      <c r="F349" s="5" t="s">
        <v>1755</v>
      </c>
      <c r="G349" s="5"/>
      <c r="H349" s="6" t="s">
        <v>1799</v>
      </c>
      <c r="I349" s="5">
        <v>1915</v>
      </c>
      <c r="J349" s="5">
        <v>6283</v>
      </c>
      <c r="K349" s="7" t="str">
        <f>HYPERLINK("http://www.centcols.org/util/geo/visuGen.php?code=US-NV-1915a","US-NV-1915a")</f>
        <v>US-NV-1915a</v>
      </c>
      <c r="L349" s="8" t="s">
        <v>1800</v>
      </c>
      <c r="M349" s="9" t="s">
        <v>1801</v>
      </c>
      <c r="N349" s="8">
        <v>0</v>
      </c>
      <c r="O349" s="8">
        <v>0</v>
      </c>
      <c r="P349" s="8"/>
      <c r="Q349" s="5">
        <v>-114.8926589</v>
      </c>
      <c r="R349" s="5">
        <v>39.351332</v>
      </c>
      <c r="S349" s="5" t="s">
        <v>1802</v>
      </c>
      <c r="T349" s="5" t="s">
        <v>1803</v>
      </c>
      <c r="U349" s="8"/>
      <c r="V349" s="8"/>
      <c r="W349" s="8" t="s">
        <v>2966</v>
      </c>
      <c r="X349" s="8" t="s">
        <v>2991</v>
      </c>
    </row>
    <row r="350" spans="1:24" ht="11.25">
      <c r="A350" s="5" t="s">
        <v>1804</v>
      </c>
      <c r="B350" s="5" t="s">
        <v>1805</v>
      </c>
      <c r="C350" s="6" t="s">
        <v>1806</v>
      </c>
      <c r="D350" s="6"/>
      <c r="E350" s="6"/>
      <c r="F350" s="5" t="s">
        <v>1755</v>
      </c>
      <c r="G350" s="5"/>
      <c r="H350" s="6" t="s">
        <v>1763</v>
      </c>
      <c r="I350" s="5">
        <v>2007</v>
      </c>
      <c r="J350" s="5">
        <v>6585</v>
      </c>
      <c r="K350" s="7" t="str">
        <f>HYPERLINK("http://www.centcols.org/util/geo/visuGen.php?code=US-NV-2007","US-NV-2007")</f>
        <v>US-NV-2007</v>
      </c>
      <c r="L350" s="8" t="s">
        <v>1807</v>
      </c>
      <c r="M350" s="8" t="s">
        <v>3113</v>
      </c>
      <c r="N350" s="8">
        <v>10</v>
      </c>
      <c r="O350" s="8">
        <v>35</v>
      </c>
      <c r="P350" s="8"/>
      <c r="Q350" s="5">
        <v>-117.3836279</v>
      </c>
      <c r="R350" s="5">
        <v>39.385502</v>
      </c>
      <c r="S350" s="5" t="s">
        <v>1808</v>
      </c>
      <c r="T350" s="5" t="s">
        <v>1809</v>
      </c>
      <c r="U350" s="8"/>
      <c r="V350" s="8"/>
      <c r="W350" s="8" t="s">
        <v>2966</v>
      </c>
      <c r="X350" s="8" t="s">
        <v>2967</v>
      </c>
    </row>
    <row r="351" spans="1:24" ht="11.25">
      <c r="A351" s="5" t="s">
        <v>1810</v>
      </c>
      <c r="B351" s="5" t="s">
        <v>1811</v>
      </c>
      <c r="C351" s="6" t="s">
        <v>1812</v>
      </c>
      <c r="D351" s="6"/>
      <c r="E351" s="6"/>
      <c r="F351" s="5" t="s">
        <v>1755</v>
      </c>
      <c r="G351" s="5"/>
      <c r="H351" s="6" t="s">
        <v>1813</v>
      </c>
      <c r="I351" s="5">
        <v>2342</v>
      </c>
      <c r="J351" s="5">
        <v>7684</v>
      </c>
      <c r="K351" s="7" t="str">
        <f>HYPERLINK("http://www.centcols.org/util/geo/visuGen.php?code=US-NV-2342","US-NV-2342")</f>
        <v>US-NV-2342</v>
      </c>
      <c r="L351" s="8" t="s">
        <v>1814</v>
      </c>
      <c r="M351" s="8"/>
      <c r="N351" s="8">
        <v>10</v>
      </c>
      <c r="O351" s="8">
        <v>35</v>
      </c>
      <c r="P351" s="8"/>
      <c r="Q351" s="5">
        <v>-115.795833</v>
      </c>
      <c r="R351" s="5">
        <v>36.391389</v>
      </c>
      <c r="S351" s="5" t="s">
        <v>1815</v>
      </c>
      <c r="T351" s="5" t="s">
        <v>1816</v>
      </c>
      <c r="U351" s="8"/>
      <c r="V351" s="8"/>
      <c r="W351" s="8" t="s">
        <v>2966</v>
      </c>
      <c r="X351" s="8" t="s">
        <v>3011</v>
      </c>
    </row>
    <row r="352" spans="1:24" ht="22.5">
      <c r="A352" s="5" t="s">
        <v>1817</v>
      </c>
      <c r="B352" s="5" t="s">
        <v>1818</v>
      </c>
      <c r="C352" s="6" t="s">
        <v>1819</v>
      </c>
      <c r="D352" s="6"/>
      <c r="E352" s="6"/>
      <c r="F352" s="5" t="s">
        <v>1755</v>
      </c>
      <c r="G352" s="5"/>
      <c r="H352" s="6" t="s">
        <v>1813</v>
      </c>
      <c r="I352" s="5">
        <v>2564</v>
      </c>
      <c r="J352" s="5">
        <v>8412</v>
      </c>
      <c r="K352" s="7" t="str">
        <f>HYPERLINK("http://www.centcols.org/util/geo/visuGen.php?code=US-NV-2564","US-NV-2564")</f>
        <v>US-NV-2564</v>
      </c>
      <c r="L352" s="8" t="s">
        <v>1820</v>
      </c>
      <c r="M352" s="9" t="s">
        <v>1821</v>
      </c>
      <c r="N352" s="8">
        <v>0</v>
      </c>
      <c r="O352" s="8">
        <v>0</v>
      </c>
      <c r="P352" s="8"/>
      <c r="Q352" s="5">
        <v>-115.612398</v>
      </c>
      <c r="R352" s="5">
        <v>36.309112</v>
      </c>
      <c r="S352" s="5" t="s">
        <v>1822</v>
      </c>
      <c r="T352" s="5" t="s">
        <v>1823</v>
      </c>
      <c r="U352" s="8"/>
      <c r="V352" s="9"/>
      <c r="W352" s="8" t="s">
        <v>2966</v>
      </c>
      <c r="X352" s="9" t="s">
        <v>1824</v>
      </c>
    </row>
    <row r="353" spans="1:24" ht="11.25">
      <c r="A353" s="5" t="s">
        <v>1825</v>
      </c>
      <c r="B353" s="5" t="s">
        <v>1826</v>
      </c>
      <c r="C353" s="6" t="s">
        <v>1827</v>
      </c>
      <c r="D353" s="6"/>
      <c r="E353" s="6"/>
      <c r="F353" s="5" t="s">
        <v>2362</v>
      </c>
      <c r="G353" s="5"/>
      <c r="H353" s="6" t="s">
        <v>1828</v>
      </c>
      <c r="I353" s="5">
        <v>74</v>
      </c>
      <c r="J353" s="5">
        <v>243</v>
      </c>
      <c r="K353" s="7" t="str">
        <f>HYPERLINK("http://www.centcols.org/util/geo/visuGen.php?code=US-NY-0074","US-NY-0074")</f>
        <v>US-NY-0074</v>
      </c>
      <c r="L353" s="8" t="s">
        <v>1829</v>
      </c>
      <c r="M353" s="9" t="s">
        <v>1830</v>
      </c>
      <c r="N353" s="8">
        <v>0</v>
      </c>
      <c r="O353" s="8">
        <v>0</v>
      </c>
      <c r="P353" s="8"/>
      <c r="Q353" s="5">
        <v>-73.9566078</v>
      </c>
      <c r="R353" s="5">
        <v>41.1804821</v>
      </c>
      <c r="S353" s="5" t="s">
        <v>1831</v>
      </c>
      <c r="T353" s="5" t="s">
        <v>1832</v>
      </c>
      <c r="U353" s="8"/>
      <c r="V353" s="8"/>
      <c r="W353" s="8" t="s">
        <v>2966</v>
      </c>
      <c r="X353" s="8" t="s">
        <v>2967</v>
      </c>
    </row>
    <row r="354" spans="1:24" ht="11.25">
      <c r="A354" s="5" t="s">
        <v>1833</v>
      </c>
      <c r="B354" s="5" t="s">
        <v>1834</v>
      </c>
      <c r="C354" s="6" t="s">
        <v>1835</v>
      </c>
      <c r="D354" s="6"/>
      <c r="E354" s="6"/>
      <c r="F354" s="5" t="s">
        <v>2362</v>
      </c>
      <c r="G354" s="5"/>
      <c r="H354" s="6" t="s">
        <v>1828</v>
      </c>
      <c r="I354" s="5">
        <v>76</v>
      </c>
      <c r="J354" s="5">
        <v>249</v>
      </c>
      <c r="K354" s="7" t="str">
        <f>HYPERLINK("http://www.centcols.org/util/geo/visuGen.php?code=US-NY-0076","US-NY-0076")</f>
        <v>US-NY-0076</v>
      </c>
      <c r="L354" s="8" t="s">
        <v>1829</v>
      </c>
      <c r="M354" s="9" t="s">
        <v>1836</v>
      </c>
      <c r="N354" s="8">
        <v>0</v>
      </c>
      <c r="O354" s="8">
        <v>0</v>
      </c>
      <c r="P354" s="8"/>
      <c r="Q354" s="5">
        <v>-73.944404</v>
      </c>
      <c r="R354" s="5">
        <v>41.174662</v>
      </c>
      <c r="S354" s="5" t="s">
        <v>1837</v>
      </c>
      <c r="T354" s="5" t="s">
        <v>1838</v>
      </c>
      <c r="U354" s="8" t="s">
        <v>3622</v>
      </c>
      <c r="V354" s="8"/>
      <c r="W354" s="8" t="s">
        <v>2966</v>
      </c>
      <c r="X354" s="8" t="s">
        <v>2967</v>
      </c>
    </row>
    <row r="355" spans="1:24" ht="11.25">
      <c r="A355" s="5" t="s">
        <v>1839</v>
      </c>
      <c r="B355" s="5" t="s">
        <v>1840</v>
      </c>
      <c r="C355" s="6" t="s">
        <v>1841</v>
      </c>
      <c r="D355" s="6"/>
      <c r="E355" s="6"/>
      <c r="F355" s="5" t="s">
        <v>2362</v>
      </c>
      <c r="G355" s="5"/>
      <c r="H355" s="6" t="s">
        <v>1842</v>
      </c>
      <c r="I355" s="5">
        <v>449</v>
      </c>
      <c r="J355" s="5">
        <v>1473</v>
      </c>
      <c r="K355" s="7" t="str">
        <f>HYPERLINK("http://www.centcols.org/util/geo/visuGen.php?code=US-NY-0449","US-NY-0449")</f>
        <v>US-NY-0449</v>
      </c>
      <c r="L355" s="8" t="s">
        <v>1843</v>
      </c>
      <c r="M355" s="9" t="s">
        <v>1844</v>
      </c>
      <c r="N355" s="8">
        <v>0</v>
      </c>
      <c r="O355" s="8">
        <v>0</v>
      </c>
      <c r="P355" s="8"/>
      <c r="Q355" s="5">
        <v>-77.5124599</v>
      </c>
      <c r="R355" s="5">
        <v>42.5389881</v>
      </c>
      <c r="S355" s="5" t="s">
        <v>1845</v>
      </c>
      <c r="T355" s="5" t="s">
        <v>1846</v>
      </c>
      <c r="U355" s="8"/>
      <c r="V355" s="8"/>
      <c r="W355" s="8" t="s">
        <v>2966</v>
      </c>
      <c r="X355" s="8" t="s">
        <v>2967</v>
      </c>
    </row>
    <row r="356" spans="1:24" ht="11.25">
      <c r="A356" s="5" t="s">
        <v>1847</v>
      </c>
      <c r="B356" s="5" t="s">
        <v>1848</v>
      </c>
      <c r="C356" s="6" t="s">
        <v>1849</v>
      </c>
      <c r="D356" s="6"/>
      <c r="E356" s="6"/>
      <c r="F356" s="5" t="s">
        <v>1850</v>
      </c>
      <c r="G356" s="5"/>
      <c r="H356" s="6" t="s">
        <v>1851</v>
      </c>
      <c r="I356" s="5">
        <v>321</v>
      </c>
      <c r="J356" s="5">
        <v>1053</v>
      </c>
      <c r="K356" s="7" t="str">
        <f>HYPERLINK("http://www.centcols.org/util/geo/visuGen.php?code=US-OH-0321","US-OH-0321")</f>
        <v>US-OH-0321</v>
      </c>
      <c r="L356" s="8" t="s">
        <v>1852</v>
      </c>
      <c r="M356" s="9" t="s">
        <v>1853</v>
      </c>
      <c r="N356" s="8">
        <v>0</v>
      </c>
      <c r="O356" s="8">
        <v>0</v>
      </c>
      <c r="P356" s="8"/>
      <c r="Q356" s="5">
        <v>-83.1088679</v>
      </c>
      <c r="R356" s="5">
        <v>38.7641921</v>
      </c>
      <c r="S356" s="5" t="s">
        <v>1854</v>
      </c>
      <c r="T356" s="5" t="s">
        <v>1855</v>
      </c>
      <c r="U356" s="8"/>
      <c r="V356" s="8"/>
      <c r="W356" s="8" t="s">
        <v>2966</v>
      </c>
      <c r="X356" s="8" t="s">
        <v>2967</v>
      </c>
    </row>
    <row r="357" spans="1:24" ht="11.25">
      <c r="A357" s="5" t="s">
        <v>1856</v>
      </c>
      <c r="B357" s="5" t="s">
        <v>1857</v>
      </c>
      <c r="C357" s="6" t="s">
        <v>1858</v>
      </c>
      <c r="D357" s="6"/>
      <c r="E357" s="6" t="s">
        <v>1859</v>
      </c>
      <c r="F357" s="5" t="s">
        <v>1860</v>
      </c>
      <c r="G357" s="5"/>
      <c r="H357" s="6" t="s">
        <v>1861</v>
      </c>
      <c r="I357" s="5">
        <v>196</v>
      </c>
      <c r="J357" s="5">
        <v>643</v>
      </c>
      <c r="K357" s="7" t="str">
        <f>HYPERLINK("http://www.centcols.org/util/geo/visuGen.php?code=US-OK-0196","US-OK-0196")</f>
        <v>US-OK-0196</v>
      </c>
      <c r="L357" s="8" t="s">
        <v>1862</v>
      </c>
      <c r="M357" s="8" t="s">
        <v>2962</v>
      </c>
      <c r="N357" s="8">
        <v>20</v>
      </c>
      <c r="O357" s="8">
        <v>99</v>
      </c>
      <c r="P357" s="8"/>
      <c r="Q357" s="5">
        <v>-96.0349979</v>
      </c>
      <c r="R357" s="5">
        <v>34.485002</v>
      </c>
      <c r="S357" s="5" t="s">
        <v>1863</v>
      </c>
      <c r="T357" s="5" t="s">
        <v>1864</v>
      </c>
      <c r="U357" s="8"/>
      <c r="V357" s="8"/>
      <c r="W357" s="8" t="s">
        <v>2966</v>
      </c>
      <c r="X357" s="8" t="s">
        <v>2991</v>
      </c>
    </row>
    <row r="358" spans="1:24" ht="11.25">
      <c r="A358" s="5" t="s">
        <v>1865</v>
      </c>
      <c r="B358" s="5" t="s">
        <v>1866</v>
      </c>
      <c r="C358" s="6" t="s">
        <v>1867</v>
      </c>
      <c r="D358" s="6"/>
      <c r="E358" s="6"/>
      <c r="F358" s="5" t="s">
        <v>1860</v>
      </c>
      <c r="G358" s="5"/>
      <c r="H358" s="6" t="s">
        <v>1868</v>
      </c>
      <c r="I358" s="5">
        <v>221</v>
      </c>
      <c r="J358" s="5">
        <v>725</v>
      </c>
      <c r="K358" s="7" t="str">
        <f>HYPERLINK("http://www.centcols.org/util/geo/visuGen.php?code=US-OK-0221","US-OK-0221")</f>
        <v>US-OK-0221</v>
      </c>
      <c r="L358" s="8" t="s">
        <v>1869</v>
      </c>
      <c r="M358" s="9" t="s">
        <v>1870</v>
      </c>
      <c r="N358" s="8">
        <v>0</v>
      </c>
      <c r="O358" s="8">
        <v>0</v>
      </c>
      <c r="P358" s="8"/>
      <c r="Q358" s="5">
        <v>-95.3043939</v>
      </c>
      <c r="R358" s="5">
        <v>35.362448</v>
      </c>
      <c r="S358" s="5" t="s">
        <v>1871</v>
      </c>
      <c r="T358" s="5" t="s">
        <v>1872</v>
      </c>
      <c r="U358" s="8"/>
      <c r="V358" s="8"/>
      <c r="W358" s="8" t="s">
        <v>2966</v>
      </c>
      <c r="X358" s="8" t="s">
        <v>2991</v>
      </c>
    </row>
    <row r="359" spans="1:24" ht="11.25">
      <c r="A359" s="5" t="s">
        <v>1873</v>
      </c>
      <c r="B359" s="5" t="s">
        <v>1874</v>
      </c>
      <c r="C359" s="6" t="s">
        <v>1875</v>
      </c>
      <c r="D359" s="6"/>
      <c r="E359" s="6"/>
      <c r="F359" s="5" t="s">
        <v>1860</v>
      </c>
      <c r="G359" s="5"/>
      <c r="H359" s="6" t="s">
        <v>1876</v>
      </c>
      <c r="I359" s="5">
        <v>375</v>
      </c>
      <c r="J359" s="5">
        <v>1230</v>
      </c>
      <c r="K359" s="7" t="str">
        <f>HYPERLINK("http://www.centcols.org/util/geo/visuGen.php?code=US-OK-0375","US-OK-0375")</f>
        <v>US-OK-0375</v>
      </c>
      <c r="L359" s="8" t="s">
        <v>1877</v>
      </c>
      <c r="M359" s="8" t="s">
        <v>3113</v>
      </c>
      <c r="N359" s="8">
        <v>10</v>
      </c>
      <c r="O359" s="8">
        <v>35</v>
      </c>
      <c r="P359" s="8"/>
      <c r="Q359" s="5">
        <v>-95.6314579</v>
      </c>
      <c r="R359" s="5">
        <v>34.5437111</v>
      </c>
      <c r="S359" s="5" t="s">
        <v>1878</v>
      </c>
      <c r="T359" s="5" t="s">
        <v>1879</v>
      </c>
      <c r="U359" s="8"/>
      <c r="V359" s="8"/>
      <c r="W359" s="8" t="s">
        <v>2966</v>
      </c>
      <c r="X359" s="8" t="s">
        <v>2967</v>
      </c>
    </row>
    <row r="360" spans="1:24" ht="11.25">
      <c r="A360" s="5" t="s">
        <v>1880</v>
      </c>
      <c r="B360" s="5" t="s">
        <v>1881</v>
      </c>
      <c r="C360" s="6" t="s">
        <v>1819</v>
      </c>
      <c r="D360" s="6"/>
      <c r="E360" s="6" t="s">
        <v>1882</v>
      </c>
      <c r="F360" s="5" t="s">
        <v>1883</v>
      </c>
      <c r="G360" s="5"/>
      <c r="H360" s="6" t="s">
        <v>1884</v>
      </c>
      <c r="I360" s="5">
        <v>210</v>
      </c>
      <c r="J360" s="5">
        <v>689</v>
      </c>
      <c r="K360" s="7" t="str">
        <f>HYPERLINK("http://www.centcols.org/util/geo/visuGen.php?code=US-OR-0210","US-OR-0210")</f>
        <v>US-OR-0210</v>
      </c>
      <c r="L360" s="8" t="s">
        <v>1885</v>
      </c>
      <c r="M360" s="9" t="s">
        <v>1886</v>
      </c>
      <c r="N360" s="8">
        <v>0</v>
      </c>
      <c r="O360" s="8">
        <v>0</v>
      </c>
      <c r="P360" s="8"/>
      <c r="Q360" s="5">
        <v>-124.4153179</v>
      </c>
      <c r="R360" s="5">
        <v>42.3352121</v>
      </c>
      <c r="S360" s="5" t="s">
        <v>1887</v>
      </c>
      <c r="T360" s="5" t="s">
        <v>1888</v>
      </c>
      <c r="U360" s="8"/>
      <c r="V360" s="9"/>
      <c r="W360" s="8" t="s">
        <v>2966</v>
      </c>
      <c r="X360" s="9" t="s">
        <v>1889</v>
      </c>
    </row>
    <row r="361" spans="1:24" ht="22.5">
      <c r="A361" s="5" t="s">
        <v>1890</v>
      </c>
      <c r="B361" s="5" t="s">
        <v>1891</v>
      </c>
      <c r="C361" s="6" t="s">
        <v>1819</v>
      </c>
      <c r="D361" s="6"/>
      <c r="E361" s="6" t="s">
        <v>1892</v>
      </c>
      <c r="F361" s="5" t="s">
        <v>1883</v>
      </c>
      <c r="G361" s="5"/>
      <c r="H361" s="6" t="s">
        <v>1893</v>
      </c>
      <c r="I361" s="5">
        <v>233</v>
      </c>
      <c r="J361" s="5">
        <v>764</v>
      </c>
      <c r="K361" s="7" t="str">
        <f>HYPERLINK("http://www.centcols.org/util/geo/visuGen.php?code=US-OR-0233","US-OR-0233")</f>
        <v>US-OR-0233</v>
      </c>
      <c r="L361" s="8" t="s">
        <v>1894</v>
      </c>
      <c r="M361" s="9" t="s">
        <v>1886</v>
      </c>
      <c r="N361" s="8">
        <v>0</v>
      </c>
      <c r="O361" s="8">
        <v>0</v>
      </c>
      <c r="P361" s="8"/>
      <c r="Q361" s="5">
        <v>-123.947798</v>
      </c>
      <c r="R361" s="5">
        <v>45.0671022</v>
      </c>
      <c r="S361" s="5" t="s">
        <v>1895</v>
      </c>
      <c r="T361" s="5" t="s">
        <v>1896</v>
      </c>
      <c r="U361" s="8"/>
      <c r="V361" s="9"/>
      <c r="W361" s="8" t="s">
        <v>2966</v>
      </c>
      <c r="X361" s="9" t="s">
        <v>1824</v>
      </c>
    </row>
    <row r="362" spans="1:24" ht="22.5">
      <c r="A362" s="5" t="s">
        <v>1897</v>
      </c>
      <c r="B362" s="5" t="s">
        <v>1898</v>
      </c>
      <c r="C362" s="6" t="s">
        <v>1819</v>
      </c>
      <c r="D362" s="6"/>
      <c r="E362" s="6" t="s">
        <v>1899</v>
      </c>
      <c r="F362" s="5" t="s">
        <v>1883</v>
      </c>
      <c r="G362" s="5"/>
      <c r="H362" s="6" t="s">
        <v>1900</v>
      </c>
      <c r="I362" s="5">
        <v>234</v>
      </c>
      <c r="J362" s="5">
        <v>768</v>
      </c>
      <c r="K362" s="7" t="str">
        <f>HYPERLINK("http://www.centcols.org/util/geo/visuGen.php?code=US-OR-0234","US-OR-0234")</f>
        <v>US-OR-0234</v>
      </c>
      <c r="L362" s="8" t="s">
        <v>3399</v>
      </c>
      <c r="M362" s="9" t="s">
        <v>1901</v>
      </c>
      <c r="N362" s="8">
        <v>0</v>
      </c>
      <c r="O362" s="8">
        <v>0</v>
      </c>
      <c r="P362" s="8"/>
      <c r="Q362" s="5">
        <v>-123.6976879</v>
      </c>
      <c r="R362" s="5">
        <v>45.0605422</v>
      </c>
      <c r="S362" s="5" t="s">
        <v>1902</v>
      </c>
      <c r="T362" s="5" t="s">
        <v>1903</v>
      </c>
      <c r="U362" s="8"/>
      <c r="V362" s="9"/>
      <c r="W362" s="8" t="s">
        <v>2966</v>
      </c>
      <c r="X362" s="9" t="s">
        <v>1824</v>
      </c>
    </row>
    <row r="363" spans="1:24" ht="22.5">
      <c r="A363" s="5" t="s">
        <v>1904</v>
      </c>
      <c r="B363" s="5" t="s">
        <v>1905</v>
      </c>
      <c r="C363" s="6" t="s">
        <v>1819</v>
      </c>
      <c r="D363" s="6"/>
      <c r="E363" s="6" t="s">
        <v>1906</v>
      </c>
      <c r="F363" s="5" t="s">
        <v>1883</v>
      </c>
      <c r="G363" s="5"/>
      <c r="H363" s="6" t="s">
        <v>1907</v>
      </c>
      <c r="I363" s="5">
        <v>240</v>
      </c>
      <c r="J363" s="5">
        <v>787</v>
      </c>
      <c r="K363" s="7" t="str">
        <f>HYPERLINK("http://www.centcols.org/util/geo/visuGen.php?code=US-OR-0240","US-OR-0240")</f>
        <v>US-OR-0240</v>
      </c>
      <c r="L363" s="8" t="s">
        <v>1908</v>
      </c>
      <c r="M363" s="9" t="s">
        <v>1909</v>
      </c>
      <c r="N363" s="8">
        <v>0</v>
      </c>
      <c r="O363" s="8">
        <v>0</v>
      </c>
      <c r="P363" s="8"/>
      <c r="Q363" s="5">
        <v>-123.766158</v>
      </c>
      <c r="R363" s="5">
        <v>45.8652831</v>
      </c>
      <c r="S363" s="5" t="s">
        <v>1910</v>
      </c>
      <c r="T363" s="5" t="s">
        <v>1911</v>
      </c>
      <c r="U363" s="8"/>
      <c r="V363" s="9"/>
      <c r="W363" s="8" t="s">
        <v>2966</v>
      </c>
      <c r="X363" s="9" t="s">
        <v>1824</v>
      </c>
    </row>
    <row r="364" spans="1:24" ht="11.25">
      <c r="A364" s="5" t="s">
        <v>1912</v>
      </c>
      <c r="B364" s="5" t="s">
        <v>1913</v>
      </c>
      <c r="C364" s="6" t="s">
        <v>1819</v>
      </c>
      <c r="D364" s="6"/>
      <c r="E364" s="6" t="s">
        <v>1914</v>
      </c>
      <c r="F364" s="5" t="s">
        <v>1883</v>
      </c>
      <c r="G364" s="5"/>
      <c r="H364" s="6" t="s">
        <v>1915</v>
      </c>
      <c r="I364" s="5">
        <v>356</v>
      </c>
      <c r="J364" s="5">
        <v>1168</v>
      </c>
      <c r="K364" s="7" t="str">
        <f>HYPERLINK("http://www.centcols.org/util/geo/visuGen.php?code=US-OR-0356","US-OR-0356")</f>
        <v>US-OR-0356</v>
      </c>
      <c r="L364" s="8" t="s">
        <v>1916</v>
      </c>
      <c r="M364" s="9" t="s">
        <v>1917</v>
      </c>
      <c r="N364" s="8">
        <v>0</v>
      </c>
      <c r="O364" s="8">
        <v>0</v>
      </c>
      <c r="P364" s="8"/>
      <c r="Q364" s="5">
        <v>-123.257299</v>
      </c>
      <c r="R364" s="5">
        <v>45.7347821</v>
      </c>
      <c r="S364" s="5" t="s">
        <v>1918</v>
      </c>
      <c r="T364" s="5" t="s">
        <v>1919</v>
      </c>
      <c r="U364" s="8"/>
      <c r="V364" s="9"/>
      <c r="W364" s="8" t="s">
        <v>2966</v>
      </c>
      <c r="X364" s="9" t="s">
        <v>1889</v>
      </c>
    </row>
    <row r="365" spans="1:24" ht="22.5">
      <c r="A365" s="5" t="s">
        <v>1920</v>
      </c>
      <c r="B365" s="5" t="s">
        <v>1921</v>
      </c>
      <c r="C365" s="6" t="s">
        <v>1819</v>
      </c>
      <c r="D365" s="6"/>
      <c r="E365" s="6" t="s">
        <v>1922</v>
      </c>
      <c r="F365" s="5" t="s">
        <v>1883</v>
      </c>
      <c r="G365" s="5"/>
      <c r="H365" s="6" t="s">
        <v>1923</v>
      </c>
      <c r="I365" s="5">
        <v>445</v>
      </c>
      <c r="J365" s="5">
        <v>1460</v>
      </c>
      <c r="K365" s="7" t="str">
        <f>HYPERLINK("http://www.centcols.org/util/geo/visuGen.php?code=US-OR-0445","US-OR-0445")</f>
        <v>US-OR-0445</v>
      </c>
      <c r="L365" s="8" t="s">
        <v>1924</v>
      </c>
      <c r="M365" s="9" t="s">
        <v>1925</v>
      </c>
      <c r="N365" s="8">
        <v>0</v>
      </c>
      <c r="O365" s="8">
        <v>0</v>
      </c>
      <c r="P365" s="8"/>
      <c r="Q365" s="5">
        <v>-123.6249579</v>
      </c>
      <c r="R365" s="5">
        <v>42.2528421</v>
      </c>
      <c r="S365" s="5" t="s">
        <v>1926</v>
      </c>
      <c r="T365" s="5" t="s">
        <v>1927</v>
      </c>
      <c r="U365" s="8"/>
      <c r="V365" s="9"/>
      <c r="W365" s="8" t="s">
        <v>2966</v>
      </c>
      <c r="X365" s="9" t="s">
        <v>1824</v>
      </c>
    </row>
    <row r="366" spans="1:24" ht="22.5">
      <c r="A366" s="5" t="s">
        <v>1928</v>
      </c>
      <c r="B366" s="5" t="s">
        <v>1929</v>
      </c>
      <c r="C366" s="6" t="s">
        <v>1819</v>
      </c>
      <c r="D366" s="6"/>
      <c r="E366" s="6" t="s">
        <v>1930</v>
      </c>
      <c r="F366" s="5" t="s">
        <v>1883</v>
      </c>
      <c r="G366" s="5"/>
      <c r="H366" s="6" t="s">
        <v>1893</v>
      </c>
      <c r="I366" s="5">
        <v>487</v>
      </c>
      <c r="J366" s="5">
        <v>1598</v>
      </c>
      <c r="K366" s="7" t="str">
        <f>HYPERLINK("http://www.centcols.org/util/geo/visuGen.php?code=US-OR-0487","US-OR-0487")</f>
        <v>US-OR-0487</v>
      </c>
      <c r="L366" s="8" t="s">
        <v>1931</v>
      </c>
      <c r="M366" s="9" t="s">
        <v>1932</v>
      </c>
      <c r="N366" s="8">
        <v>0</v>
      </c>
      <c r="O366" s="8">
        <v>0</v>
      </c>
      <c r="P366" s="8"/>
      <c r="Q366" s="5">
        <v>-123.3770789</v>
      </c>
      <c r="R366" s="5">
        <v>45.6219531</v>
      </c>
      <c r="S366" s="5" t="s">
        <v>1933</v>
      </c>
      <c r="T366" s="5" t="s">
        <v>1934</v>
      </c>
      <c r="U366" s="8"/>
      <c r="V366" s="9"/>
      <c r="W366" s="8" t="s">
        <v>2966</v>
      </c>
      <c r="X366" s="9" t="s">
        <v>1824</v>
      </c>
    </row>
    <row r="367" spans="1:24" ht="11.25">
      <c r="A367" s="5" t="s">
        <v>1935</v>
      </c>
      <c r="B367" s="5" t="s">
        <v>1936</v>
      </c>
      <c r="C367" s="6" t="s">
        <v>1819</v>
      </c>
      <c r="D367" s="6"/>
      <c r="E367" s="6" t="s">
        <v>1937</v>
      </c>
      <c r="F367" s="5" t="s">
        <v>1883</v>
      </c>
      <c r="G367" s="5"/>
      <c r="H367" s="6" t="s">
        <v>1938</v>
      </c>
      <c r="I367" s="5">
        <v>501</v>
      </c>
      <c r="J367" s="5">
        <v>1644</v>
      </c>
      <c r="K367" s="7" t="str">
        <f>HYPERLINK("http://www.centcols.org/util/geo/visuGen.php?code=US-OR-0501","US-OR-0501")</f>
        <v>US-OR-0501</v>
      </c>
      <c r="L367" s="8" t="s">
        <v>1939</v>
      </c>
      <c r="M367" s="9" t="s">
        <v>1940</v>
      </c>
      <c r="N367" s="8">
        <v>0</v>
      </c>
      <c r="O367" s="8">
        <v>0</v>
      </c>
      <c r="P367" s="8"/>
      <c r="Q367" s="5">
        <v>-118.3973679</v>
      </c>
      <c r="R367" s="5">
        <v>45.8681221</v>
      </c>
      <c r="S367" s="5" t="s">
        <v>1941</v>
      </c>
      <c r="T367" s="5" t="s">
        <v>1942</v>
      </c>
      <c r="U367" s="8"/>
      <c r="V367" s="9"/>
      <c r="W367" s="8" t="s">
        <v>2966</v>
      </c>
      <c r="X367" s="9" t="s">
        <v>1889</v>
      </c>
    </row>
    <row r="368" spans="1:24" ht="22.5">
      <c r="A368" s="5" t="s">
        <v>1943</v>
      </c>
      <c r="B368" s="5" t="s">
        <v>1944</v>
      </c>
      <c r="C368" s="6" t="s">
        <v>1945</v>
      </c>
      <c r="D368" s="6"/>
      <c r="E368" s="6"/>
      <c r="F368" s="5" t="s">
        <v>1883</v>
      </c>
      <c r="G368" s="5"/>
      <c r="H368" s="6" t="s">
        <v>1884</v>
      </c>
      <c r="I368" s="5">
        <v>515</v>
      </c>
      <c r="J368" s="5">
        <v>1690</v>
      </c>
      <c r="K368" s="7" t="str">
        <f>HYPERLINK("http://www.centcols.org/util/geo/visuGen.php?code=US-OR-0515","US-OR-0515")</f>
        <v>US-OR-0515</v>
      </c>
      <c r="L368" s="8" t="s">
        <v>1946</v>
      </c>
      <c r="M368" s="9" t="s">
        <v>1947</v>
      </c>
      <c r="N368" s="8">
        <v>0</v>
      </c>
      <c r="O368" s="8">
        <v>0</v>
      </c>
      <c r="P368" s="8"/>
      <c r="Q368" s="5">
        <v>-124.3371609</v>
      </c>
      <c r="R368" s="5">
        <v>42.212295</v>
      </c>
      <c r="S368" s="5" t="s">
        <v>1948</v>
      </c>
      <c r="T368" s="5" t="s">
        <v>1949</v>
      </c>
      <c r="U368" s="8"/>
      <c r="V368" s="8"/>
      <c r="W368" s="8" t="s">
        <v>2966</v>
      </c>
      <c r="X368" s="8" t="s">
        <v>2548</v>
      </c>
    </row>
    <row r="369" spans="1:24" ht="11.25">
      <c r="A369" s="5" t="s">
        <v>1950</v>
      </c>
      <c r="B369" s="5" t="s">
        <v>1951</v>
      </c>
      <c r="C369" s="6" t="s">
        <v>1952</v>
      </c>
      <c r="D369" s="6"/>
      <c r="E369" s="6"/>
      <c r="F369" s="5" t="s">
        <v>1883</v>
      </c>
      <c r="G369" s="5"/>
      <c r="H369" s="6" t="s">
        <v>1953</v>
      </c>
      <c r="I369" s="5">
        <v>529</v>
      </c>
      <c r="J369" s="5">
        <v>1736</v>
      </c>
      <c r="K369" s="7" t="str">
        <f>HYPERLINK("http://www.centcols.org/util/geo/visuGen.php?code=US-OR-0529","US-OR-0529")</f>
        <v>US-OR-0529</v>
      </c>
      <c r="L369" s="8" t="s">
        <v>1954</v>
      </c>
      <c r="M369" s="8" t="s">
        <v>1955</v>
      </c>
      <c r="N369" s="8">
        <v>0</v>
      </c>
      <c r="O369" s="8">
        <v>0</v>
      </c>
      <c r="P369" s="8"/>
      <c r="Q369" s="5">
        <v>-121.22912</v>
      </c>
      <c r="R369" s="5">
        <v>44.8796701</v>
      </c>
      <c r="S369" s="5" t="s">
        <v>1956</v>
      </c>
      <c r="T369" s="5" t="s">
        <v>1957</v>
      </c>
      <c r="U369" s="8"/>
      <c r="V369" s="8"/>
      <c r="W369" s="8" t="s">
        <v>2966</v>
      </c>
      <c r="X369" s="8" t="s">
        <v>2991</v>
      </c>
    </row>
    <row r="370" spans="1:24" ht="11.25">
      <c r="A370" s="5" t="s">
        <v>1958</v>
      </c>
      <c r="B370" s="5" t="s">
        <v>1959</v>
      </c>
      <c r="C370" s="6" t="s">
        <v>1819</v>
      </c>
      <c r="D370" s="6"/>
      <c r="E370" s="6" t="s">
        <v>1960</v>
      </c>
      <c r="F370" s="5" t="s">
        <v>1883</v>
      </c>
      <c r="G370" s="5"/>
      <c r="H370" s="6" t="s">
        <v>1961</v>
      </c>
      <c r="I370" s="5">
        <v>793</v>
      </c>
      <c r="J370" s="5">
        <v>2602</v>
      </c>
      <c r="K370" s="7" t="str">
        <f>HYPERLINK("http://www.centcols.org/util/geo/visuGen.php?code=US-OR-0793","US-OR-0793")</f>
        <v>US-OR-0793</v>
      </c>
      <c r="L370" s="8" t="s">
        <v>1962</v>
      </c>
      <c r="M370" s="9" t="s">
        <v>1963</v>
      </c>
      <c r="N370" s="8">
        <v>0</v>
      </c>
      <c r="O370" s="8">
        <v>0</v>
      </c>
      <c r="P370" s="8"/>
      <c r="Q370" s="5">
        <v>-117.231088</v>
      </c>
      <c r="R370" s="5">
        <v>44.7861321</v>
      </c>
      <c r="S370" s="5" t="s">
        <v>1964</v>
      </c>
      <c r="T370" s="5" t="s">
        <v>1965</v>
      </c>
      <c r="U370" s="8"/>
      <c r="V370" s="9"/>
      <c r="W370" s="8" t="s">
        <v>2966</v>
      </c>
      <c r="X370" s="9" t="s">
        <v>1889</v>
      </c>
    </row>
    <row r="371" spans="1:24" ht="22.5">
      <c r="A371" s="5" t="s">
        <v>1966</v>
      </c>
      <c r="B371" s="5" t="s">
        <v>1967</v>
      </c>
      <c r="C371" s="6" t="s">
        <v>1819</v>
      </c>
      <c r="D371" s="6"/>
      <c r="E371" s="6" t="s">
        <v>1968</v>
      </c>
      <c r="F371" s="5" t="s">
        <v>1883</v>
      </c>
      <c r="G371" s="5"/>
      <c r="H371" s="6" t="s">
        <v>1938</v>
      </c>
      <c r="I371" s="5">
        <v>818</v>
      </c>
      <c r="J371" s="5">
        <v>2684</v>
      </c>
      <c r="K371" s="7" t="str">
        <f>HYPERLINK("http://www.centcols.org/util/geo/visuGen.php?code=US-OR-0818","US-OR-0818")</f>
        <v>US-OR-0818</v>
      </c>
      <c r="L371" s="8" t="s">
        <v>1969</v>
      </c>
      <c r="M371" s="9" t="s">
        <v>1970</v>
      </c>
      <c r="N371" s="8">
        <v>0</v>
      </c>
      <c r="O371" s="8">
        <v>0</v>
      </c>
      <c r="P371" s="8"/>
      <c r="Q371" s="5">
        <v>-119.0158089</v>
      </c>
      <c r="R371" s="5">
        <v>45.4657021</v>
      </c>
      <c r="S371" s="5" t="s">
        <v>1971</v>
      </c>
      <c r="T371" s="5" t="s">
        <v>1972</v>
      </c>
      <c r="U371" s="8"/>
      <c r="V371" s="9"/>
      <c r="W371" s="8" t="s">
        <v>2966</v>
      </c>
      <c r="X371" s="9" t="s">
        <v>1824</v>
      </c>
    </row>
    <row r="372" spans="1:24" ht="11.25">
      <c r="A372" s="5" t="s">
        <v>1973</v>
      </c>
      <c r="B372" s="5" t="s">
        <v>1974</v>
      </c>
      <c r="C372" s="6" t="s">
        <v>1819</v>
      </c>
      <c r="D372" s="6"/>
      <c r="E372" s="6" t="s">
        <v>1975</v>
      </c>
      <c r="F372" s="5" t="s">
        <v>1883</v>
      </c>
      <c r="G372" s="5"/>
      <c r="H372" s="6" t="s">
        <v>1976</v>
      </c>
      <c r="I372" s="5">
        <v>908</v>
      </c>
      <c r="J372" s="5">
        <v>2979</v>
      </c>
      <c r="K372" s="7" t="str">
        <f>HYPERLINK("http://www.centcols.org/util/geo/visuGen.php?code=US-OR-0908","US-OR-0908")</f>
        <v>US-OR-0908</v>
      </c>
      <c r="L372" s="8" t="s">
        <v>1977</v>
      </c>
      <c r="M372" s="9" t="s">
        <v>1978</v>
      </c>
      <c r="N372" s="8">
        <v>0</v>
      </c>
      <c r="O372" s="8">
        <v>0</v>
      </c>
      <c r="P372" s="8"/>
      <c r="Q372" s="5">
        <v>-121.9955879</v>
      </c>
      <c r="R372" s="5">
        <v>44.3518221</v>
      </c>
      <c r="S372" s="5" t="s">
        <v>1979</v>
      </c>
      <c r="T372" s="5" t="s">
        <v>1980</v>
      </c>
      <c r="U372" s="8"/>
      <c r="V372" s="9"/>
      <c r="W372" s="8" t="s">
        <v>2966</v>
      </c>
      <c r="X372" s="9" t="s">
        <v>1889</v>
      </c>
    </row>
    <row r="373" spans="1:24" ht="11.25">
      <c r="A373" s="5" t="s">
        <v>1981</v>
      </c>
      <c r="B373" s="5" t="s">
        <v>1982</v>
      </c>
      <c r="C373" s="6" t="s">
        <v>1154</v>
      </c>
      <c r="D373" s="6"/>
      <c r="E373" s="6" t="s">
        <v>1983</v>
      </c>
      <c r="F373" s="5" t="s">
        <v>1883</v>
      </c>
      <c r="G373" s="5"/>
      <c r="H373" s="6" t="s">
        <v>1984</v>
      </c>
      <c r="I373" s="5">
        <v>1016</v>
      </c>
      <c r="J373" s="5">
        <v>3333</v>
      </c>
      <c r="K373" s="7" t="str">
        <f>HYPERLINK("http://www.centcols.org/util/geo/visuGen.php?code=US-OR-1016","US-OR-1016")</f>
        <v>US-OR-1016</v>
      </c>
      <c r="L373" s="8" t="s">
        <v>1985</v>
      </c>
      <c r="M373" s="8" t="s">
        <v>3113</v>
      </c>
      <c r="N373" s="8">
        <v>10</v>
      </c>
      <c r="O373" s="8">
        <v>35</v>
      </c>
      <c r="P373" s="8"/>
      <c r="Q373" s="5">
        <v>-117.1631029</v>
      </c>
      <c r="R373" s="5">
        <v>43.5467741</v>
      </c>
      <c r="S373" s="5" t="s">
        <v>1986</v>
      </c>
      <c r="T373" s="5" t="s">
        <v>1987</v>
      </c>
      <c r="U373" s="8"/>
      <c r="V373" s="8"/>
      <c r="W373" s="8" t="s">
        <v>2966</v>
      </c>
      <c r="X373" s="8" t="s">
        <v>2991</v>
      </c>
    </row>
    <row r="374" spans="1:24" ht="22.5">
      <c r="A374" s="5" t="s">
        <v>1988</v>
      </c>
      <c r="B374" s="5" t="s">
        <v>1989</v>
      </c>
      <c r="C374" s="6" t="s">
        <v>1990</v>
      </c>
      <c r="D374" s="6"/>
      <c r="E374" s="6"/>
      <c r="F374" s="5" t="s">
        <v>1883</v>
      </c>
      <c r="G374" s="5"/>
      <c r="H374" s="6" t="s">
        <v>1991</v>
      </c>
      <c r="I374" s="5">
        <v>1058</v>
      </c>
      <c r="J374" s="5">
        <v>3471</v>
      </c>
      <c r="K374" s="7" t="str">
        <f>HYPERLINK("http://www.centcols.org/util/geo/visuGen.php?code=US-OR-1058","US-OR-1058")</f>
        <v>US-OR-1058</v>
      </c>
      <c r="L374" s="8" t="s">
        <v>1992</v>
      </c>
      <c r="M374" s="9" t="s">
        <v>1993</v>
      </c>
      <c r="N374" s="8">
        <v>0</v>
      </c>
      <c r="O374" s="8">
        <v>0</v>
      </c>
      <c r="P374" s="8"/>
      <c r="Q374" s="5">
        <v>-119.2356079</v>
      </c>
      <c r="R374" s="5">
        <v>45.3839421</v>
      </c>
      <c r="S374" s="5" t="s">
        <v>1994</v>
      </c>
      <c r="T374" s="5" t="s">
        <v>1995</v>
      </c>
      <c r="U374" s="8"/>
      <c r="V374" s="9"/>
      <c r="W374" s="8" t="s">
        <v>2966</v>
      </c>
      <c r="X374" s="9" t="s">
        <v>1996</v>
      </c>
    </row>
    <row r="375" spans="1:24" ht="22.5">
      <c r="A375" s="5" t="s">
        <v>1997</v>
      </c>
      <c r="B375" s="5" t="s">
        <v>1998</v>
      </c>
      <c r="C375" s="6" t="s">
        <v>1819</v>
      </c>
      <c r="D375" s="6"/>
      <c r="E375" s="6" t="s">
        <v>1999</v>
      </c>
      <c r="F375" s="5" t="s">
        <v>1883</v>
      </c>
      <c r="G375" s="5"/>
      <c r="H375" s="6" t="s">
        <v>2000</v>
      </c>
      <c r="I375" s="5">
        <v>1085</v>
      </c>
      <c r="J375" s="5">
        <v>3560</v>
      </c>
      <c r="K375" s="7" t="str">
        <f>HYPERLINK("http://www.centcols.org/util/geo/visuGen.php?code=US-OR-1085","US-OR-1085")</f>
        <v>US-OR-1085</v>
      </c>
      <c r="L375" s="8" t="s">
        <v>2001</v>
      </c>
      <c r="M375" s="9" t="s">
        <v>2002</v>
      </c>
      <c r="N375" s="8">
        <v>0</v>
      </c>
      <c r="O375" s="8">
        <v>0</v>
      </c>
      <c r="P375" s="8"/>
      <c r="Q375" s="5">
        <v>-120.086528</v>
      </c>
      <c r="R375" s="5">
        <v>44.678242</v>
      </c>
      <c r="S375" s="5" t="s">
        <v>2003</v>
      </c>
      <c r="T375" s="5" t="s">
        <v>2004</v>
      </c>
      <c r="U375" s="8"/>
      <c r="V375" s="9"/>
      <c r="W375" s="8" t="s">
        <v>2966</v>
      </c>
      <c r="X375" s="9" t="s">
        <v>1824</v>
      </c>
    </row>
    <row r="376" spans="1:24" ht="11.25">
      <c r="A376" s="5" t="s">
        <v>2005</v>
      </c>
      <c r="B376" s="5" t="s">
        <v>2006</v>
      </c>
      <c r="C376" s="6" t="s">
        <v>2007</v>
      </c>
      <c r="D376" s="6"/>
      <c r="E376" s="6"/>
      <c r="F376" s="5" t="s">
        <v>1883</v>
      </c>
      <c r="G376" s="5"/>
      <c r="H376" s="6" t="s">
        <v>1953</v>
      </c>
      <c r="I376" s="5">
        <v>1094</v>
      </c>
      <c r="J376" s="5">
        <v>3589</v>
      </c>
      <c r="K376" s="7" t="str">
        <f>HYPERLINK("http://www.centcols.org/util/geo/visuGen.php?code=US-OR-1094","US-OR-1094")</f>
        <v>US-OR-1094</v>
      </c>
      <c r="L376" s="8" t="s">
        <v>2008</v>
      </c>
      <c r="M376" s="9" t="s">
        <v>2009</v>
      </c>
      <c r="N376" s="8">
        <v>0</v>
      </c>
      <c r="O376" s="8">
        <v>0</v>
      </c>
      <c r="P376" s="8"/>
      <c r="Q376" s="5">
        <v>-120.8388879</v>
      </c>
      <c r="R376" s="5">
        <v>44.9888921</v>
      </c>
      <c r="S376" s="5" t="s">
        <v>2010</v>
      </c>
      <c r="T376" s="5" t="s">
        <v>2011</v>
      </c>
      <c r="U376" s="8"/>
      <c r="V376" s="8"/>
      <c r="W376" s="8" t="s">
        <v>2966</v>
      </c>
      <c r="X376" s="8" t="s">
        <v>3497</v>
      </c>
    </row>
    <row r="377" spans="1:24" ht="11.25">
      <c r="A377" s="5" t="s">
        <v>2012</v>
      </c>
      <c r="B377" s="5" t="s">
        <v>2013</v>
      </c>
      <c r="C377" s="6" t="s">
        <v>2014</v>
      </c>
      <c r="D377" s="6"/>
      <c r="E377" s="6"/>
      <c r="F377" s="5" t="s">
        <v>1883</v>
      </c>
      <c r="G377" s="5"/>
      <c r="H377" s="6" t="s">
        <v>1961</v>
      </c>
      <c r="I377" s="5">
        <v>1123</v>
      </c>
      <c r="J377" s="5">
        <v>3684</v>
      </c>
      <c r="K377" s="7" t="str">
        <f>HYPERLINK("http://www.centcols.org/util/geo/visuGen.php?code=US-OR-1123","US-OR-1123")</f>
        <v>US-OR-1123</v>
      </c>
      <c r="L377" s="8" t="s">
        <v>2015</v>
      </c>
      <c r="M377" s="9" t="s">
        <v>2016</v>
      </c>
      <c r="N377" s="8">
        <v>0</v>
      </c>
      <c r="O377" s="8">
        <v>0</v>
      </c>
      <c r="P377" s="8"/>
      <c r="Q377" s="5">
        <v>-117.7421279</v>
      </c>
      <c r="R377" s="5">
        <v>44.810892</v>
      </c>
      <c r="S377" s="5" t="s">
        <v>2017</v>
      </c>
      <c r="T377" s="5" t="s">
        <v>2018</v>
      </c>
      <c r="U377" s="8"/>
      <c r="V377" s="9"/>
      <c r="W377" s="8" t="s">
        <v>2966</v>
      </c>
      <c r="X377" s="8" t="s">
        <v>2548</v>
      </c>
    </row>
    <row r="378" spans="1:24" ht="22.5">
      <c r="A378" s="5" t="s">
        <v>2019</v>
      </c>
      <c r="B378" s="5" t="s">
        <v>2020</v>
      </c>
      <c r="C378" s="6" t="s">
        <v>1819</v>
      </c>
      <c r="D378" s="6"/>
      <c r="E378" s="6" t="s">
        <v>2021</v>
      </c>
      <c r="F378" s="5" t="s">
        <v>1883</v>
      </c>
      <c r="G378" s="5"/>
      <c r="H378" s="6" t="s">
        <v>1961</v>
      </c>
      <c r="I378" s="5">
        <v>1124</v>
      </c>
      <c r="J378" s="5">
        <v>3688</v>
      </c>
      <c r="K378" s="7" t="str">
        <f>HYPERLINK("http://www.centcols.org/util/geo/visuGen.php?code=US-OR-1124","US-OR-1124")</f>
        <v>US-OR-1124</v>
      </c>
      <c r="L378" s="8" t="s">
        <v>2022</v>
      </c>
      <c r="M378" s="9" t="s">
        <v>2023</v>
      </c>
      <c r="N378" s="8">
        <v>0</v>
      </c>
      <c r="O378" s="8">
        <v>0</v>
      </c>
      <c r="P378" s="8"/>
      <c r="Q378" s="5">
        <v>-117.1229778</v>
      </c>
      <c r="R378" s="5">
        <v>44.828752</v>
      </c>
      <c r="S378" s="5" t="s">
        <v>2024</v>
      </c>
      <c r="T378" s="5" t="s">
        <v>2025</v>
      </c>
      <c r="U378" s="8"/>
      <c r="V378" s="9"/>
      <c r="W378" s="8" t="s">
        <v>2966</v>
      </c>
      <c r="X378" s="9" t="s">
        <v>1824</v>
      </c>
    </row>
    <row r="379" spans="1:24" ht="11.25">
      <c r="A379" s="5" t="s">
        <v>2026</v>
      </c>
      <c r="B379" s="5" t="s">
        <v>2027</v>
      </c>
      <c r="C379" s="6" t="s">
        <v>2028</v>
      </c>
      <c r="D379" s="6"/>
      <c r="E379" s="6"/>
      <c r="F379" s="5" t="s">
        <v>1883</v>
      </c>
      <c r="G379" s="5"/>
      <c r="H379" s="6" t="s">
        <v>1961</v>
      </c>
      <c r="I379" s="5">
        <v>1130</v>
      </c>
      <c r="J379" s="5">
        <v>3707</v>
      </c>
      <c r="K379" s="7" t="str">
        <f>HYPERLINK("http://www.centcols.org/util/geo/visuGen.php?code=US-OR-1130","US-OR-1130")</f>
        <v>US-OR-1130</v>
      </c>
      <c r="L379" s="8" t="s">
        <v>2029</v>
      </c>
      <c r="M379" s="9" t="s">
        <v>2030</v>
      </c>
      <c r="N379" s="8">
        <v>0</v>
      </c>
      <c r="O379" s="8">
        <v>0</v>
      </c>
      <c r="P379" s="8"/>
      <c r="Q379" s="5">
        <v>-117.765811</v>
      </c>
      <c r="R379" s="5">
        <v>44.394473</v>
      </c>
      <c r="S379" s="5" t="s">
        <v>2031</v>
      </c>
      <c r="T379" s="5" t="s">
        <v>2032</v>
      </c>
      <c r="U379" s="8"/>
      <c r="V379" s="8"/>
      <c r="W379" s="8" t="s">
        <v>2966</v>
      </c>
      <c r="X379" s="8" t="s">
        <v>2991</v>
      </c>
    </row>
    <row r="380" spans="1:24" ht="11.25">
      <c r="A380" s="5" t="s">
        <v>2033</v>
      </c>
      <c r="B380" s="5" t="s">
        <v>2034</v>
      </c>
      <c r="C380" s="6" t="s">
        <v>2035</v>
      </c>
      <c r="D380" s="6"/>
      <c r="E380" s="6"/>
      <c r="F380" s="5" t="s">
        <v>1883</v>
      </c>
      <c r="G380" s="5"/>
      <c r="H380" s="6" t="s">
        <v>2036</v>
      </c>
      <c r="I380" s="5">
        <v>1149</v>
      </c>
      <c r="J380" s="5">
        <v>3770</v>
      </c>
      <c r="K380" s="7" t="str">
        <f>HYPERLINK("http://www.centcols.org/util/geo/visuGen.php?code=US-OR-1149","US-OR-1149")</f>
        <v>US-OR-1149</v>
      </c>
      <c r="L380" s="8" t="s">
        <v>2037</v>
      </c>
      <c r="M380" s="8" t="s">
        <v>3222</v>
      </c>
      <c r="N380" s="8">
        <v>15</v>
      </c>
      <c r="O380" s="8">
        <v>99</v>
      </c>
      <c r="P380" s="8" t="s">
        <v>3338</v>
      </c>
      <c r="Q380" s="5">
        <v>-116.577639</v>
      </c>
      <c r="R380" s="5">
        <v>45.5609621</v>
      </c>
      <c r="S380" s="5" t="s">
        <v>2038</v>
      </c>
      <c r="T380" s="5" t="s">
        <v>2039</v>
      </c>
      <c r="U380" s="8"/>
      <c r="V380" s="8" t="s">
        <v>1122</v>
      </c>
      <c r="W380" s="8" t="s">
        <v>2966</v>
      </c>
      <c r="X380" s="8" t="s">
        <v>2548</v>
      </c>
    </row>
    <row r="381" spans="1:24" ht="11.25">
      <c r="A381" s="5" t="s">
        <v>2040</v>
      </c>
      <c r="B381" s="5" t="s">
        <v>2041</v>
      </c>
      <c r="C381" s="6" t="s">
        <v>2042</v>
      </c>
      <c r="D381" s="6"/>
      <c r="E381" s="6"/>
      <c r="F381" s="5" t="s">
        <v>1883</v>
      </c>
      <c r="G381" s="5"/>
      <c r="H381" s="6" t="s">
        <v>1938</v>
      </c>
      <c r="I381" s="5">
        <v>1160</v>
      </c>
      <c r="J381" s="5">
        <v>3806</v>
      </c>
      <c r="K381" s="7" t="str">
        <f>HYPERLINK("http://www.centcols.org/util/geo/visuGen.php?code=US-OR-1160","US-OR-1160")</f>
        <v>US-OR-1160</v>
      </c>
      <c r="L381" s="8" t="s">
        <v>2043</v>
      </c>
      <c r="M381" s="9" t="s">
        <v>2044</v>
      </c>
      <c r="N381" s="8">
        <v>0</v>
      </c>
      <c r="O381" s="8">
        <v>0</v>
      </c>
      <c r="P381" s="8"/>
      <c r="Q381" s="5">
        <v>-119.005958</v>
      </c>
      <c r="R381" s="5">
        <v>45.2995721</v>
      </c>
      <c r="S381" s="5" t="s">
        <v>2045</v>
      </c>
      <c r="T381" s="5" t="s">
        <v>2046</v>
      </c>
      <c r="U381" s="8"/>
      <c r="V381" s="9"/>
      <c r="W381" s="8" t="s">
        <v>2966</v>
      </c>
      <c r="X381" s="8" t="s">
        <v>2548</v>
      </c>
    </row>
    <row r="382" spans="1:24" ht="11.25">
      <c r="A382" s="5" t="s">
        <v>2047</v>
      </c>
      <c r="B382" s="5" t="s">
        <v>2048</v>
      </c>
      <c r="C382" s="6" t="s">
        <v>2049</v>
      </c>
      <c r="D382" s="6"/>
      <c r="E382" s="6"/>
      <c r="F382" s="5" t="s">
        <v>1883</v>
      </c>
      <c r="G382" s="5"/>
      <c r="H382" s="6" t="s">
        <v>2050</v>
      </c>
      <c r="I382" s="5">
        <v>1239</v>
      </c>
      <c r="J382" s="5">
        <v>4065</v>
      </c>
      <c r="K382" s="7" t="str">
        <f>HYPERLINK("http://www.centcols.org/util/geo/visuGen.php?code=US-OR-1239a","US-OR-1239a")</f>
        <v>US-OR-1239a</v>
      </c>
      <c r="L382" s="8" t="s">
        <v>2051</v>
      </c>
      <c r="M382" s="8" t="s">
        <v>2988</v>
      </c>
      <c r="N382" s="8">
        <v>10</v>
      </c>
      <c r="O382" s="8">
        <v>35</v>
      </c>
      <c r="P382" s="8"/>
      <c r="Q382" s="5">
        <v>-117.5507479</v>
      </c>
      <c r="R382" s="5">
        <v>43.4831121</v>
      </c>
      <c r="S382" s="5" t="s">
        <v>2052</v>
      </c>
      <c r="T382" s="5" t="s">
        <v>2053</v>
      </c>
      <c r="U382" s="8"/>
      <c r="V382" s="8"/>
      <c r="W382" s="8" t="s">
        <v>2966</v>
      </c>
      <c r="X382" s="8" t="s">
        <v>2967</v>
      </c>
    </row>
    <row r="383" spans="1:24" ht="22.5">
      <c r="A383" s="5" t="s">
        <v>2054</v>
      </c>
      <c r="B383" s="5" t="s">
        <v>2055</v>
      </c>
      <c r="C383" s="6" t="s">
        <v>1819</v>
      </c>
      <c r="D383" s="6"/>
      <c r="E383" s="6" t="s">
        <v>2056</v>
      </c>
      <c r="F383" s="5" t="s">
        <v>1883</v>
      </c>
      <c r="G383" s="5"/>
      <c r="H383" s="6" t="s">
        <v>2372</v>
      </c>
      <c r="I383" s="5">
        <v>1269</v>
      </c>
      <c r="J383" s="5">
        <v>4163</v>
      </c>
      <c r="K383" s="7" t="str">
        <f>HYPERLINK("http://www.centcols.org/util/geo/visuGen.php?code=US-OR-1269a","US-OR-1269a")</f>
        <v>US-OR-1269a</v>
      </c>
      <c r="L383" s="8" t="s">
        <v>2057</v>
      </c>
      <c r="M383" s="9" t="s">
        <v>2058</v>
      </c>
      <c r="N383" s="8">
        <v>0</v>
      </c>
      <c r="O383" s="8">
        <v>0</v>
      </c>
      <c r="P383" s="8"/>
      <c r="Q383" s="5">
        <v>-117.6713779</v>
      </c>
      <c r="R383" s="5">
        <v>45.096532</v>
      </c>
      <c r="S383" s="5" t="s">
        <v>2059</v>
      </c>
      <c r="T383" s="5" t="s">
        <v>2060</v>
      </c>
      <c r="U383" s="8"/>
      <c r="V383" s="9"/>
      <c r="W383" s="8" t="s">
        <v>2966</v>
      </c>
      <c r="X383" s="9" t="s">
        <v>1824</v>
      </c>
    </row>
    <row r="384" spans="1:24" ht="22.5">
      <c r="A384" s="5" t="s">
        <v>2061</v>
      </c>
      <c r="B384" s="5" t="s">
        <v>2062</v>
      </c>
      <c r="C384" s="6" t="s">
        <v>1819</v>
      </c>
      <c r="D384" s="6"/>
      <c r="E384" s="6" t="s">
        <v>2063</v>
      </c>
      <c r="F384" s="5" t="s">
        <v>1883</v>
      </c>
      <c r="G384" s="5"/>
      <c r="H384" s="6" t="s">
        <v>1938</v>
      </c>
      <c r="I384" s="5">
        <v>1281</v>
      </c>
      <c r="J384" s="5">
        <v>4203</v>
      </c>
      <c r="K384" s="7" t="str">
        <f>HYPERLINK("http://www.centcols.org/util/geo/visuGen.php?code=US-OR-1281","US-OR-1281")</f>
        <v>US-OR-1281</v>
      </c>
      <c r="L384" s="8" t="s">
        <v>2064</v>
      </c>
      <c r="M384" s="9" t="s">
        <v>2065</v>
      </c>
      <c r="N384" s="8">
        <v>0</v>
      </c>
      <c r="O384" s="8">
        <v>0</v>
      </c>
      <c r="P384" s="8"/>
      <c r="Q384" s="5">
        <v>-118.3855979</v>
      </c>
      <c r="R384" s="5">
        <v>45.462592</v>
      </c>
      <c r="S384" s="5" t="s">
        <v>2066</v>
      </c>
      <c r="T384" s="5" t="s">
        <v>2067</v>
      </c>
      <c r="U384" s="8"/>
      <c r="V384" s="9"/>
      <c r="W384" s="8" t="s">
        <v>2966</v>
      </c>
      <c r="X384" s="9" t="s">
        <v>1824</v>
      </c>
    </row>
    <row r="385" spans="1:24" ht="11.25">
      <c r="A385" s="5" t="s">
        <v>2068</v>
      </c>
      <c r="B385" s="5" t="s">
        <v>2069</v>
      </c>
      <c r="C385" s="6" t="s">
        <v>2070</v>
      </c>
      <c r="D385" s="6"/>
      <c r="E385" s="6"/>
      <c r="F385" s="5" t="s">
        <v>1883</v>
      </c>
      <c r="G385" s="5"/>
      <c r="H385" s="6" t="s">
        <v>2071</v>
      </c>
      <c r="I385" s="5">
        <v>1311</v>
      </c>
      <c r="J385" s="5">
        <v>4301</v>
      </c>
      <c r="K385" s="7" t="str">
        <f>HYPERLINK("http://www.centcols.org/util/geo/visuGen.php?code=US-OR-1311","US-OR-1311")</f>
        <v>US-OR-1311</v>
      </c>
      <c r="L385" s="8" t="s">
        <v>2072</v>
      </c>
      <c r="M385" s="9" t="s">
        <v>2073</v>
      </c>
      <c r="N385" s="8">
        <v>0</v>
      </c>
      <c r="O385" s="8">
        <v>0</v>
      </c>
      <c r="P385" s="8"/>
      <c r="Q385" s="5">
        <v>-121.0030579</v>
      </c>
      <c r="R385" s="5">
        <v>43.9100021</v>
      </c>
      <c r="S385" s="5" t="s">
        <v>2074</v>
      </c>
      <c r="T385" s="5" t="s">
        <v>2075</v>
      </c>
      <c r="U385" s="8"/>
      <c r="V385" s="8"/>
      <c r="W385" s="8" t="s">
        <v>2966</v>
      </c>
      <c r="X385" s="8" t="s">
        <v>2548</v>
      </c>
    </row>
    <row r="386" spans="1:24" ht="22.5">
      <c r="A386" s="5" t="s">
        <v>2076</v>
      </c>
      <c r="B386" s="5" t="s">
        <v>2077</v>
      </c>
      <c r="C386" s="6" t="s">
        <v>1819</v>
      </c>
      <c r="D386" s="6"/>
      <c r="E386" s="6" t="s">
        <v>2078</v>
      </c>
      <c r="F386" s="5" t="s">
        <v>1883</v>
      </c>
      <c r="G386" s="5"/>
      <c r="H386" s="6" t="s">
        <v>1710</v>
      </c>
      <c r="I386" s="5">
        <v>1374</v>
      </c>
      <c r="J386" s="5">
        <v>4508</v>
      </c>
      <c r="K386" s="7" t="str">
        <f>HYPERLINK("http://www.centcols.org/util/geo/visuGen.php?code=US-OR-1374","US-OR-1374")</f>
        <v>US-OR-1374</v>
      </c>
      <c r="L386" s="8" t="s">
        <v>2079</v>
      </c>
      <c r="M386" s="9" t="s">
        <v>2080</v>
      </c>
      <c r="N386" s="8">
        <v>0</v>
      </c>
      <c r="O386" s="8">
        <v>0</v>
      </c>
      <c r="P386" s="8"/>
      <c r="Q386" s="5">
        <v>-118.4645579</v>
      </c>
      <c r="R386" s="5">
        <v>44.5754221</v>
      </c>
      <c r="S386" s="5" t="s">
        <v>2081</v>
      </c>
      <c r="T386" s="5" t="s">
        <v>2082</v>
      </c>
      <c r="U386" s="8"/>
      <c r="V386" s="9"/>
      <c r="W386" s="8" t="s">
        <v>2966</v>
      </c>
      <c r="X386" s="9" t="s">
        <v>1824</v>
      </c>
    </row>
    <row r="387" spans="1:24" ht="22.5">
      <c r="A387" s="5" t="s">
        <v>2083</v>
      </c>
      <c r="B387" s="5" t="s">
        <v>2084</v>
      </c>
      <c r="C387" s="6" t="s">
        <v>1819</v>
      </c>
      <c r="D387" s="6"/>
      <c r="E387" s="6" t="s">
        <v>2085</v>
      </c>
      <c r="F387" s="5" t="s">
        <v>1883</v>
      </c>
      <c r="G387" s="5"/>
      <c r="H387" s="6" t="s">
        <v>2086</v>
      </c>
      <c r="I387" s="5">
        <v>1449</v>
      </c>
      <c r="J387" s="5">
        <v>4754</v>
      </c>
      <c r="K387" s="7" t="str">
        <f>HYPERLINK("http://www.centcols.org/util/geo/visuGen.php?code=US-OR-1449","US-OR-1449")</f>
        <v>US-OR-1449</v>
      </c>
      <c r="L387" s="8" t="s">
        <v>2087</v>
      </c>
      <c r="M387" s="9" t="s">
        <v>2088</v>
      </c>
      <c r="N387" s="8">
        <v>0</v>
      </c>
      <c r="O387" s="8">
        <v>0</v>
      </c>
      <c r="P387" s="8"/>
      <c r="Q387" s="5">
        <v>-119.8929279</v>
      </c>
      <c r="R387" s="5">
        <v>43.2183422</v>
      </c>
      <c r="S387" s="5" t="s">
        <v>2089</v>
      </c>
      <c r="T387" s="5" t="s">
        <v>2090</v>
      </c>
      <c r="U387" s="8"/>
      <c r="V387" s="9"/>
      <c r="W387" s="8" t="s">
        <v>2966</v>
      </c>
      <c r="X387" s="9" t="s">
        <v>1824</v>
      </c>
    </row>
    <row r="388" spans="1:24" ht="11.25">
      <c r="A388" s="5" t="s">
        <v>2091</v>
      </c>
      <c r="B388" s="5" t="s">
        <v>2092</v>
      </c>
      <c r="C388" s="6" t="s">
        <v>2093</v>
      </c>
      <c r="D388" s="6"/>
      <c r="E388" s="6"/>
      <c r="F388" s="5" t="s">
        <v>1883</v>
      </c>
      <c r="G388" s="5"/>
      <c r="H388" s="6" t="s">
        <v>2094</v>
      </c>
      <c r="I388" s="5">
        <v>1450</v>
      </c>
      <c r="J388" s="5">
        <v>4757</v>
      </c>
      <c r="K388" s="7" t="str">
        <f>HYPERLINK("http://www.centcols.org/util/geo/visuGen.php?code=US-OR-1450","US-OR-1450")</f>
        <v>US-OR-1450</v>
      </c>
      <c r="L388" s="8" t="s">
        <v>2095</v>
      </c>
      <c r="M388" s="8" t="s">
        <v>2096</v>
      </c>
      <c r="N388" s="8">
        <v>0</v>
      </c>
      <c r="O388" s="8">
        <v>0</v>
      </c>
      <c r="P388" s="8"/>
      <c r="Q388" s="5">
        <v>-121.9816649</v>
      </c>
      <c r="R388" s="5">
        <v>42.352224</v>
      </c>
      <c r="S388" s="5" t="s">
        <v>2097</v>
      </c>
      <c r="T388" s="5" t="s">
        <v>2098</v>
      </c>
      <c r="U388" s="8"/>
      <c r="V388" s="8"/>
      <c r="W388" s="8" t="s">
        <v>2966</v>
      </c>
      <c r="X388" s="8" t="s">
        <v>3085</v>
      </c>
    </row>
    <row r="389" spans="1:24" ht="22.5">
      <c r="A389" s="5" t="s">
        <v>2099</v>
      </c>
      <c r="B389" s="5" t="s">
        <v>2100</v>
      </c>
      <c r="C389" s="6" t="s">
        <v>1819</v>
      </c>
      <c r="D389" s="6"/>
      <c r="E389" s="6" t="s">
        <v>2101</v>
      </c>
      <c r="F389" s="5" t="s">
        <v>1883</v>
      </c>
      <c r="G389" s="5"/>
      <c r="H389" s="6" t="s">
        <v>2086</v>
      </c>
      <c r="I389" s="5">
        <v>1452</v>
      </c>
      <c r="J389" s="5">
        <v>4764</v>
      </c>
      <c r="K389" s="7" t="str">
        <f>HYPERLINK("http://www.centcols.org/util/geo/visuGen.php?code=US-OR-1452","US-OR-1452")</f>
        <v>US-OR-1452</v>
      </c>
      <c r="L389" s="8" t="s">
        <v>2087</v>
      </c>
      <c r="M389" s="9" t="s">
        <v>2102</v>
      </c>
      <c r="N389" s="8">
        <v>0</v>
      </c>
      <c r="O389" s="8">
        <v>0</v>
      </c>
      <c r="P389" s="8"/>
      <c r="Q389" s="5">
        <v>-119.8895279</v>
      </c>
      <c r="R389" s="5">
        <v>43.243632</v>
      </c>
      <c r="S389" s="5" t="s">
        <v>2103</v>
      </c>
      <c r="T389" s="5" t="s">
        <v>2104</v>
      </c>
      <c r="U389" s="8"/>
      <c r="V389" s="9"/>
      <c r="W389" s="8" t="s">
        <v>2966</v>
      </c>
      <c r="X389" s="9" t="s">
        <v>1824</v>
      </c>
    </row>
    <row r="390" spans="1:24" ht="11.25">
      <c r="A390" s="5" t="s">
        <v>2105</v>
      </c>
      <c r="B390" s="5" t="s">
        <v>2106</v>
      </c>
      <c r="C390" s="6" t="s">
        <v>2107</v>
      </c>
      <c r="D390" s="6"/>
      <c r="E390" s="6"/>
      <c r="F390" s="5" t="s">
        <v>1883</v>
      </c>
      <c r="G390" s="5"/>
      <c r="H390" s="6" t="s">
        <v>3485</v>
      </c>
      <c r="I390" s="5">
        <v>1473</v>
      </c>
      <c r="J390" s="5">
        <v>4833</v>
      </c>
      <c r="K390" s="7" t="str">
        <f>HYPERLINK("http://www.centcols.org/util/geo/visuGen.php?code=US-OR-1473","US-OR-1473")</f>
        <v>US-OR-1473</v>
      </c>
      <c r="L390" s="8" t="s">
        <v>2108</v>
      </c>
      <c r="M390" s="9" t="s">
        <v>2109</v>
      </c>
      <c r="N390" s="8">
        <v>0</v>
      </c>
      <c r="O390" s="8">
        <v>0</v>
      </c>
      <c r="P390" s="8"/>
      <c r="Q390" s="5">
        <v>-120.800158</v>
      </c>
      <c r="R390" s="5">
        <v>43.0482321</v>
      </c>
      <c r="S390" s="5" t="s">
        <v>2110</v>
      </c>
      <c r="T390" s="5" t="s">
        <v>2111</v>
      </c>
      <c r="U390" s="8"/>
      <c r="V390" s="8"/>
      <c r="W390" s="8" t="s">
        <v>2966</v>
      </c>
      <c r="X390" s="8" t="s">
        <v>3085</v>
      </c>
    </row>
    <row r="391" spans="1:24" ht="11.25">
      <c r="A391" s="5" t="s">
        <v>2112</v>
      </c>
      <c r="B391" s="5" t="s">
        <v>2113</v>
      </c>
      <c r="C391" s="6" t="s">
        <v>2114</v>
      </c>
      <c r="D391" s="6"/>
      <c r="E391" s="6"/>
      <c r="F391" s="5" t="s">
        <v>1883</v>
      </c>
      <c r="G391" s="5"/>
      <c r="H391" s="6" t="s">
        <v>3485</v>
      </c>
      <c r="I391" s="5">
        <v>1481</v>
      </c>
      <c r="J391" s="5">
        <v>4859</v>
      </c>
      <c r="K391" s="7" t="str">
        <f>HYPERLINK("http://www.centcols.org/util/geo/visuGen.php?code=US-OR-1481","US-OR-1481")</f>
        <v>US-OR-1481</v>
      </c>
      <c r="L391" s="8" t="s">
        <v>2115</v>
      </c>
      <c r="M391" s="9" t="s">
        <v>2116</v>
      </c>
      <c r="N391" s="8">
        <v>0</v>
      </c>
      <c r="O391" s="8">
        <v>0</v>
      </c>
      <c r="P391" s="8"/>
      <c r="Q391" s="5">
        <v>-120.4904478</v>
      </c>
      <c r="R391" s="5">
        <v>42.1788921</v>
      </c>
      <c r="S391" s="5" t="s">
        <v>2117</v>
      </c>
      <c r="T391" s="5" t="s">
        <v>2118</v>
      </c>
      <c r="U391" s="8"/>
      <c r="V391" s="9"/>
      <c r="W391" s="8" t="s">
        <v>2966</v>
      </c>
      <c r="X391" s="8" t="s">
        <v>2548</v>
      </c>
    </row>
    <row r="392" spans="1:24" ht="22.5">
      <c r="A392" s="5" t="s">
        <v>2119</v>
      </c>
      <c r="B392" s="5" t="s">
        <v>2120</v>
      </c>
      <c r="C392" s="6" t="s">
        <v>1819</v>
      </c>
      <c r="D392" s="6"/>
      <c r="E392" s="6" t="s">
        <v>2121</v>
      </c>
      <c r="F392" s="5" t="s">
        <v>1883</v>
      </c>
      <c r="G392" s="5"/>
      <c r="H392" s="6" t="s">
        <v>1938</v>
      </c>
      <c r="I392" s="5">
        <v>1547</v>
      </c>
      <c r="J392" s="5">
        <v>5075</v>
      </c>
      <c r="K392" s="7" t="str">
        <f>HYPERLINK("http://www.centcols.org/util/geo/visuGen.php?code=US-OR-1547","US-OR-1547")</f>
        <v>US-OR-1547</v>
      </c>
      <c r="L392" s="8" t="s">
        <v>2122</v>
      </c>
      <c r="M392" s="9" t="s">
        <v>2123</v>
      </c>
      <c r="N392" s="8">
        <v>0</v>
      </c>
      <c r="O392" s="8">
        <v>0</v>
      </c>
      <c r="P392" s="8"/>
      <c r="Q392" s="5">
        <v>-118.1096289</v>
      </c>
      <c r="R392" s="5">
        <v>45.784932</v>
      </c>
      <c r="S392" s="5" t="s">
        <v>2124</v>
      </c>
      <c r="T392" s="5" t="s">
        <v>2125</v>
      </c>
      <c r="U392" s="8"/>
      <c r="V392" s="9"/>
      <c r="W392" s="8" t="s">
        <v>2966</v>
      </c>
      <c r="X392" s="9" t="s">
        <v>1824</v>
      </c>
    </row>
    <row r="393" spans="1:24" ht="22.5">
      <c r="A393" s="5" t="s">
        <v>2126</v>
      </c>
      <c r="B393" s="5" t="s">
        <v>2127</v>
      </c>
      <c r="C393" s="6" t="s">
        <v>1819</v>
      </c>
      <c r="D393" s="6"/>
      <c r="E393" s="6" t="s">
        <v>2128</v>
      </c>
      <c r="F393" s="5" t="s">
        <v>1883</v>
      </c>
      <c r="G393" s="5"/>
      <c r="H393" s="6" t="s">
        <v>2086</v>
      </c>
      <c r="I393" s="5">
        <v>1550</v>
      </c>
      <c r="J393" s="5">
        <v>5085</v>
      </c>
      <c r="K393" s="7" t="str">
        <f>HYPERLINK("http://www.centcols.org/util/geo/visuGen.php?code=US-OR-1550a","US-OR-1550a")</f>
        <v>US-OR-1550a</v>
      </c>
      <c r="L393" s="8" t="s">
        <v>2129</v>
      </c>
      <c r="M393" s="9" t="s">
        <v>2130</v>
      </c>
      <c r="N393" s="8">
        <v>0</v>
      </c>
      <c r="O393" s="8">
        <v>0</v>
      </c>
      <c r="P393" s="8"/>
      <c r="Q393" s="5">
        <v>-118.2351389</v>
      </c>
      <c r="R393" s="5">
        <v>43.0996621</v>
      </c>
      <c r="S393" s="5" t="s">
        <v>2131</v>
      </c>
      <c r="T393" s="5" t="s">
        <v>2132</v>
      </c>
      <c r="U393" s="8"/>
      <c r="V393" s="9"/>
      <c r="W393" s="8" t="s">
        <v>2966</v>
      </c>
      <c r="X393" s="9" t="s">
        <v>1824</v>
      </c>
    </row>
    <row r="394" spans="1:24" ht="11.25">
      <c r="A394" s="5" t="s">
        <v>2133</v>
      </c>
      <c r="B394" s="5" t="s">
        <v>2134</v>
      </c>
      <c r="C394" s="6" t="s">
        <v>2135</v>
      </c>
      <c r="D394" s="6"/>
      <c r="E394" s="6"/>
      <c r="F394" s="5" t="s">
        <v>1883</v>
      </c>
      <c r="G394" s="5"/>
      <c r="H394" s="6" t="s">
        <v>1961</v>
      </c>
      <c r="I394" s="5">
        <v>1552</v>
      </c>
      <c r="J394" s="5">
        <v>5092</v>
      </c>
      <c r="K394" s="7" t="str">
        <f>HYPERLINK("http://www.centcols.org/util/geo/visuGen.php?code=US-OR-1552","US-OR-1552")</f>
        <v>US-OR-1552</v>
      </c>
      <c r="L394" s="8" t="s">
        <v>3407</v>
      </c>
      <c r="M394" s="9" t="s">
        <v>3591</v>
      </c>
      <c r="N394" s="8">
        <v>0</v>
      </c>
      <c r="O394" s="8">
        <v>0</v>
      </c>
      <c r="P394" s="8"/>
      <c r="Q394" s="5">
        <v>-117.541289</v>
      </c>
      <c r="R394" s="5">
        <v>44.9754321</v>
      </c>
      <c r="S394" s="5" t="s">
        <v>2136</v>
      </c>
      <c r="T394" s="5" t="s">
        <v>2137</v>
      </c>
      <c r="U394" s="8"/>
      <c r="V394" s="8"/>
      <c r="W394" s="8" t="s">
        <v>2966</v>
      </c>
      <c r="X394" s="8" t="s">
        <v>2548</v>
      </c>
    </row>
    <row r="395" spans="1:24" ht="22.5">
      <c r="A395" s="5" t="s">
        <v>2138</v>
      </c>
      <c r="B395" s="5" t="s">
        <v>2139</v>
      </c>
      <c r="C395" s="6" t="s">
        <v>1819</v>
      </c>
      <c r="D395" s="6"/>
      <c r="E395" s="6" t="s">
        <v>2140</v>
      </c>
      <c r="F395" s="5" t="s">
        <v>1883</v>
      </c>
      <c r="G395" s="5"/>
      <c r="H395" s="6" t="s">
        <v>1710</v>
      </c>
      <c r="I395" s="5">
        <v>1570</v>
      </c>
      <c r="J395" s="5">
        <v>5151</v>
      </c>
      <c r="K395" s="7" t="str">
        <f>HYPERLINK("http://www.centcols.org/util/geo/visuGen.php?code=US-OR-1570","US-OR-1570")</f>
        <v>US-OR-1570</v>
      </c>
      <c r="L395" s="8" t="s">
        <v>2141</v>
      </c>
      <c r="M395" s="9" t="s">
        <v>2142</v>
      </c>
      <c r="N395" s="8">
        <v>0</v>
      </c>
      <c r="O395" s="8">
        <v>0</v>
      </c>
      <c r="P395" s="8"/>
      <c r="Q395" s="5">
        <v>-119.0148689</v>
      </c>
      <c r="R395" s="5">
        <v>44.2603321</v>
      </c>
      <c r="S395" s="5" t="s">
        <v>2143</v>
      </c>
      <c r="T395" s="5" t="s">
        <v>2144</v>
      </c>
      <c r="U395" s="8"/>
      <c r="V395" s="9"/>
      <c r="W395" s="8" t="s">
        <v>2966</v>
      </c>
      <c r="X395" s="9" t="s">
        <v>1824</v>
      </c>
    </row>
    <row r="396" spans="1:24" ht="11.25">
      <c r="A396" s="5" t="s">
        <v>2145</v>
      </c>
      <c r="B396" s="5" t="s">
        <v>2146</v>
      </c>
      <c r="C396" s="6" t="s">
        <v>2147</v>
      </c>
      <c r="D396" s="6"/>
      <c r="E396" s="6"/>
      <c r="F396" s="5" t="s">
        <v>1883</v>
      </c>
      <c r="G396" s="5"/>
      <c r="H396" s="6" t="s">
        <v>2086</v>
      </c>
      <c r="I396" s="5">
        <v>1633</v>
      </c>
      <c r="J396" s="5">
        <v>5358</v>
      </c>
      <c r="K396" s="7" t="str">
        <f>HYPERLINK("http://www.centcols.org/util/geo/visuGen.php?code=US-OR-1633","US-OR-1633")</f>
        <v>US-OR-1633</v>
      </c>
      <c r="L396" s="8" t="s">
        <v>2148</v>
      </c>
      <c r="M396" s="9" t="s">
        <v>2088</v>
      </c>
      <c r="N396" s="8">
        <v>0</v>
      </c>
      <c r="O396" s="8">
        <v>0</v>
      </c>
      <c r="P396" s="8"/>
      <c r="Q396" s="5">
        <v>-118.989481</v>
      </c>
      <c r="R396" s="5">
        <v>43.804176</v>
      </c>
      <c r="S396" s="5" t="s">
        <v>2149</v>
      </c>
      <c r="T396" s="5" t="s">
        <v>2150</v>
      </c>
      <c r="U396" s="8"/>
      <c r="V396" s="9"/>
      <c r="W396" s="8" t="s">
        <v>2966</v>
      </c>
      <c r="X396" s="8" t="s">
        <v>3085</v>
      </c>
    </row>
    <row r="397" spans="1:24" ht="11.25">
      <c r="A397" s="5" t="s">
        <v>2151</v>
      </c>
      <c r="B397" s="5" t="s">
        <v>2152</v>
      </c>
      <c r="C397" s="6" t="s">
        <v>1819</v>
      </c>
      <c r="D397" s="6"/>
      <c r="E397" s="6" t="s">
        <v>2153</v>
      </c>
      <c r="F397" s="5" t="s">
        <v>1883</v>
      </c>
      <c r="G397" s="5"/>
      <c r="H397" s="6" t="s">
        <v>3713</v>
      </c>
      <c r="I397" s="5">
        <v>1652</v>
      </c>
      <c r="J397" s="5">
        <v>5420</v>
      </c>
      <c r="K397" s="7" t="str">
        <f>HYPERLINK("http://www.centcols.org/util/geo/visuGen.php?code=US-OR-1652","US-OR-1652")</f>
        <v>US-OR-1652</v>
      </c>
      <c r="L397" s="8" t="s">
        <v>2154</v>
      </c>
      <c r="M397" s="9" t="s">
        <v>2155</v>
      </c>
      <c r="N397" s="8">
        <v>0</v>
      </c>
      <c r="O397" s="8">
        <v>0</v>
      </c>
      <c r="P397" s="8"/>
      <c r="Q397" s="5">
        <v>-122.2027389</v>
      </c>
      <c r="R397" s="5">
        <v>43.0946922</v>
      </c>
      <c r="S397" s="5" t="s">
        <v>2156</v>
      </c>
      <c r="T397" s="5" t="s">
        <v>2157</v>
      </c>
      <c r="U397" s="8"/>
      <c r="V397" s="9"/>
      <c r="W397" s="8" t="s">
        <v>2966</v>
      </c>
      <c r="X397" s="9" t="s">
        <v>1889</v>
      </c>
    </row>
    <row r="398" spans="1:24" ht="22.5">
      <c r="A398" s="5" t="s">
        <v>2158</v>
      </c>
      <c r="B398" s="5" t="s">
        <v>2159</v>
      </c>
      <c r="C398" s="6" t="s">
        <v>1819</v>
      </c>
      <c r="D398" s="6"/>
      <c r="E398" s="6" t="s">
        <v>2160</v>
      </c>
      <c r="F398" s="5" t="s">
        <v>1883</v>
      </c>
      <c r="G398" s="5"/>
      <c r="H398" s="6" t="s">
        <v>3485</v>
      </c>
      <c r="I398" s="5">
        <v>1903</v>
      </c>
      <c r="J398" s="5">
        <v>6243</v>
      </c>
      <c r="K398" s="7" t="str">
        <f>HYPERLINK("http://www.centcols.org/util/geo/visuGen.php?code=US-OR-1903","US-OR-1903")</f>
        <v>US-OR-1903</v>
      </c>
      <c r="L398" s="8" t="s">
        <v>2161</v>
      </c>
      <c r="M398" s="9" t="s">
        <v>2162</v>
      </c>
      <c r="N398" s="8">
        <v>0</v>
      </c>
      <c r="O398" s="8">
        <v>0</v>
      </c>
      <c r="P398" s="8"/>
      <c r="Q398" s="5">
        <v>-119.4801579</v>
      </c>
      <c r="R398" s="5">
        <v>42.0154931</v>
      </c>
      <c r="S398" s="5" t="s">
        <v>2163</v>
      </c>
      <c r="T398" s="5" t="s">
        <v>2164</v>
      </c>
      <c r="U398" s="8"/>
      <c r="V398" s="9"/>
      <c r="W398" s="8" t="s">
        <v>2966</v>
      </c>
      <c r="X398" s="9" t="s">
        <v>1824</v>
      </c>
    </row>
    <row r="399" spans="1:24" ht="11.25">
      <c r="A399" s="5" t="s">
        <v>2165</v>
      </c>
      <c r="B399" s="5" t="s">
        <v>2166</v>
      </c>
      <c r="C399" s="6" t="s">
        <v>2167</v>
      </c>
      <c r="D399" s="6"/>
      <c r="E399" s="6"/>
      <c r="F399" s="5" t="s">
        <v>1883</v>
      </c>
      <c r="G399" s="5"/>
      <c r="H399" s="6" t="s">
        <v>2050</v>
      </c>
      <c r="I399" s="5">
        <v>1942</v>
      </c>
      <c r="J399" s="5">
        <v>6371</v>
      </c>
      <c r="K399" s="7" t="str">
        <f>HYPERLINK("http://www.centcols.org/util/geo/visuGen.php?code=US-OR-1942","US-OR-1942")</f>
        <v>US-OR-1942</v>
      </c>
      <c r="L399" s="8" t="s">
        <v>2168</v>
      </c>
      <c r="M399" s="8" t="s">
        <v>3113</v>
      </c>
      <c r="N399" s="8">
        <v>10</v>
      </c>
      <c r="O399" s="8">
        <v>35</v>
      </c>
      <c r="P399" s="8"/>
      <c r="Q399" s="5">
        <v>-117.6640029</v>
      </c>
      <c r="R399" s="5">
        <v>42.2321241</v>
      </c>
      <c r="S399" s="5" t="s">
        <v>2169</v>
      </c>
      <c r="T399" s="5" t="s">
        <v>2170</v>
      </c>
      <c r="U399" s="8"/>
      <c r="V399" s="8"/>
      <c r="W399" s="8" t="s">
        <v>2966</v>
      </c>
      <c r="X399" s="8" t="s">
        <v>3202</v>
      </c>
    </row>
    <row r="400" spans="1:24" ht="11.25">
      <c r="A400" s="5" t="s">
        <v>2171</v>
      </c>
      <c r="B400" s="5" t="s">
        <v>2172</v>
      </c>
      <c r="C400" s="6" t="s">
        <v>3315</v>
      </c>
      <c r="D400" s="6"/>
      <c r="E400" s="6"/>
      <c r="F400" s="5" t="s">
        <v>1883</v>
      </c>
      <c r="G400" s="5"/>
      <c r="H400" s="6" t="s">
        <v>2094</v>
      </c>
      <c r="I400" s="5">
        <v>1978</v>
      </c>
      <c r="J400" s="5">
        <v>6489</v>
      </c>
      <c r="K400" s="7" t="str">
        <f>HYPERLINK("http://www.centcols.org/util/geo/visuGen.php?code=US-OR-1978a","US-OR-1978a")</f>
        <v>US-OR-1978a</v>
      </c>
      <c r="L400" s="8" t="s">
        <v>2173</v>
      </c>
      <c r="M400" s="8" t="s">
        <v>3222</v>
      </c>
      <c r="N400" s="8">
        <v>15</v>
      </c>
      <c r="O400" s="8">
        <v>99</v>
      </c>
      <c r="P400" s="8" t="s">
        <v>3338</v>
      </c>
      <c r="Q400" s="5">
        <v>-122.0583309</v>
      </c>
      <c r="R400" s="5">
        <v>42.3352802</v>
      </c>
      <c r="S400" s="5" t="s">
        <v>2174</v>
      </c>
      <c r="T400" s="5" t="s">
        <v>2175</v>
      </c>
      <c r="U400" s="8"/>
      <c r="V400" s="8" t="s">
        <v>2176</v>
      </c>
      <c r="W400" s="8" t="s">
        <v>2966</v>
      </c>
      <c r="X400" s="8" t="s">
        <v>2177</v>
      </c>
    </row>
    <row r="401" spans="1:24" ht="11.25">
      <c r="A401" s="5" t="s">
        <v>2178</v>
      </c>
      <c r="B401" s="5" t="s">
        <v>2179</v>
      </c>
      <c r="C401" s="6" t="s">
        <v>2180</v>
      </c>
      <c r="D401" s="6"/>
      <c r="E401" s="6" t="s">
        <v>2181</v>
      </c>
      <c r="F401" s="5" t="s">
        <v>1883</v>
      </c>
      <c r="G401" s="5"/>
      <c r="H401" s="6" t="s">
        <v>2182</v>
      </c>
      <c r="I401" s="5">
        <v>2098</v>
      </c>
      <c r="J401" s="5">
        <v>6883</v>
      </c>
      <c r="K401" s="7" t="str">
        <f>HYPERLINK("http://www.centcols.org/util/geo/visuGen.php?code=US-OR-2098","US-OR-2098")</f>
        <v>US-OR-2098</v>
      </c>
      <c r="L401" s="8" t="s">
        <v>2183</v>
      </c>
      <c r="M401" s="8" t="s">
        <v>2988</v>
      </c>
      <c r="N401" s="8">
        <v>10</v>
      </c>
      <c r="O401" s="8">
        <v>35</v>
      </c>
      <c r="P401" s="8" t="s">
        <v>3338</v>
      </c>
      <c r="Q401" s="5">
        <v>-121.791711</v>
      </c>
      <c r="R401" s="5">
        <v>44.1906721</v>
      </c>
      <c r="S401" s="5" t="s">
        <v>2184</v>
      </c>
      <c r="T401" s="5" t="s">
        <v>2185</v>
      </c>
      <c r="U401" s="8"/>
      <c r="V401" s="8" t="s">
        <v>2186</v>
      </c>
      <c r="W401" s="8" t="s">
        <v>2966</v>
      </c>
      <c r="X401" s="8" t="s">
        <v>2548</v>
      </c>
    </row>
    <row r="402" spans="1:24" ht="11.25">
      <c r="A402" s="5" t="s">
        <v>2187</v>
      </c>
      <c r="B402" s="5" t="s">
        <v>2188</v>
      </c>
      <c r="C402" s="6" t="s">
        <v>2361</v>
      </c>
      <c r="D402" s="6"/>
      <c r="E402" s="6"/>
      <c r="F402" s="5" t="s">
        <v>2189</v>
      </c>
      <c r="G402" s="5"/>
      <c r="H402" s="6" t="s">
        <v>1118</v>
      </c>
      <c r="I402" s="5">
        <v>177</v>
      </c>
      <c r="J402" s="5">
        <v>581</v>
      </c>
      <c r="K402" s="7" t="str">
        <f>HYPERLINK("http://www.centcols.org/util/geo/visuGen.php?code=US-PA-0177","US-PA-0177")</f>
        <v>US-PA-0177</v>
      </c>
      <c r="L402" s="8" t="s">
        <v>2190</v>
      </c>
      <c r="M402" s="8" t="s">
        <v>2191</v>
      </c>
      <c r="N402" s="8">
        <v>0</v>
      </c>
      <c r="O402" s="8">
        <v>0</v>
      </c>
      <c r="P402" s="8"/>
      <c r="Q402" s="5">
        <v>-77.2367979</v>
      </c>
      <c r="R402" s="5">
        <v>39.7893021</v>
      </c>
      <c r="S402" s="5" t="s">
        <v>2192</v>
      </c>
      <c r="T402" s="5" t="s">
        <v>2193</v>
      </c>
      <c r="U402" s="8"/>
      <c r="V402" s="8"/>
      <c r="W402" s="8" t="s">
        <v>2966</v>
      </c>
      <c r="X402" s="8" t="s">
        <v>2967</v>
      </c>
    </row>
    <row r="403" spans="1:24" ht="11.25">
      <c r="A403" s="5" t="s">
        <v>2194</v>
      </c>
      <c r="B403" s="5" t="s">
        <v>2195</v>
      </c>
      <c r="C403" s="6" t="s">
        <v>2196</v>
      </c>
      <c r="D403" s="6"/>
      <c r="E403" s="6"/>
      <c r="F403" s="5" t="s">
        <v>2189</v>
      </c>
      <c r="G403" s="5"/>
      <c r="H403" s="6" t="s">
        <v>2197</v>
      </c>
      <c r="I403" s="5">
        <v>383</v>
      </c>
      <c r="J403" s="5">
        <v>1257</v>
      </c>
      <c r="K403" s="7" t="str">
        <f>HYPERLINK("http://www.centcols.org/util/geo/visuGen.php?code=US-PA-0383","US-PA-0383")</f>
        <v>US-PA-0383</v>
      </c>
      <c r="L403" s="8" t="s">
        <v>2198</v>
      </c>
      <c r="M403" s="9" t="s">
        <v>2199</v>
      </c>
      <c r="N403" s="8">
        <v>0</v>
      </c>
      <c r="O403" s="8">
        <v>0</v>
      </c>
      <c r="P403" s="8"/>
      <c r="Q403" s="5">
        <v>-77.1110689</v>
      </c>
      <c r="R403" s="5">
        <v>41.088868</v>
      </c>
      <c r="S403" s="5" t="s">
        <v>2200</v>
      </c>
      <c r="T403" s="5" t="s">
        <v>2201</v>
      </c>
      <c r="U403" s="8"/>
      <c r="V403" s="8"/>
      <c r="W403" s="8" t="s">
        <v>2966</v>
      </c>
      <c r="X403" s="8" t="s">
        <v>2386</v>
      </c>
    </row>
    <row r="404" spans="1:24" ht="11.25">
      <c r="A404" s="5" t="s">
        <v>2202</v>
      </c>
      <c r="B404" s="5" t="s">
        <v>2203</v>
      </c>
      <c r="C404" s="6" t="s">
        <v>0</v>
      </c>
      <c r="D404" s="6"/>
      <c r="E404" s="6"/>
      <c r="F404" s="5" t="s">
        <v>2189</v>
      </c>
      <c r="G404" s="5"/>
      <c r="H404" s="6" t="s">
        <v>1</v>
      </c>
      <c r="I404" s="5">
        <v>412</v>
      </c>
      <c r="J404" s="5">
        <v>1352</v>
      </c>
      <c r="K404" s="7" t="str">
        <f>HYPERLINK("http://www.centcols.org/util/geo/visuGen.php?code=US-PA-0412","US-PA-0412")</f>
        <v>US-PA-0412</v>
      </c>
      <c r="L404" s="8" t="s">
        <v>2</v>
      </c>
      <c r="M404" s="9" t="s">
        <v>3</v>
      </c>
      <c r="N404" s="8">
        <v>0</v>
      </c>
      <c r="O404" s="8">
        <v>0</v>
      </c>
      <c r="P404" s="8"/>
      <c r="Q404" s="5">
        <v>-77.661422</v>
      </c>
      <c r="R404" s="5">
        <v>40.713835</v>
      </c>
      <c r="S404" s="5" t="s">
        <v>4</v>
      </c>
      <c r="T404" s="5" t="s">
        <v>5</v>
      </c>
      <c r="U404" s="8"/>
      <c r="V404" s="8"/>
      <c r="W404" s="8" t="s">
        <v>2966</v>
      </c>
      <c r="X404" s="8" t="s">
        <v>2386</v>
      </c>
    </row>
    <row r="405" spans="1:24" ht="22.5">
      <c r="A405" s="5" t="s">
        <v>6</v>
      </c>
      <c r="B405" s="5" t="s">
        <v>7</v>
      </c>
      <c r="C405" s="6" t="s">
        <v>8</v>
      </c>
      <c r="D405" s="6"/>
      <c r="E405" s="6"/>
      <c r="F405" s="5" t="s">
        <v>2189</v>
      </c>
      <c r="G405" s="5"/>
      <c r="H405" s="6" t="s">
        <v>1177</v>
      </c>
      <c r="I405" s="5">
        <v>445</v>
      </c>
      <c r="J405" s="5">
        <v>1460</v>
      </c>
      <c r="K405" s="7" t="str">
        <f>HYPERLINK("http://www.centcols.org/util/geo/visuGen.php?code=US-PA-0445","US-PA-0445")</f>
        <v>US-PA-0445</v>
      </c>
      <c r="L405" s="8" t="s">
        <v>9</v>
      </c>
      <c r="M405" s="9" t="s">
        <v>10</v>
      </c>
      <c r="N405" s="8">
        <v>0</v>
      </c>
      <c r="O405" s="8">
        <v>0</v>
      </c>
      <c r="P405" s="8"/>
      <c r="Q405" s="5">
        <v>-77.7506389</v>
      </c>
      <c r="R405" s="5">
        <v>40.0582381</v>
      </c>
      <c r="S405" s="5" t="s">
        <v>11</v>
      </c>
      <c r="T405" s="5" t="s">
        <v>12</v>
      </c>
      <c r="U405" s="8"/>
      <c r="V405" s="8"/>
      <c r="W405" s="8" t="s">
        <v>2966</v>
      </c>
      <c r="X405" s="8" t="s">
        <v>2386</v>
      </c>
    </row>
    <row r="406" spans="1:24" ht="11.25">
      <c r="A406" s="5" t="s">
        <v>13</v>
      </c>
      <c r="B406" s="5" t="s">
        <v>14</v>
      </c>
      <c r="C406" s="6" t="s">
        <v>15</v>
      </c>
      <c r="D406" s="6"/>
      <c r="E406" s="6"/>
      <c r="F406" s="5" t="s">
        <v>2189</v>
      </c>
      <c r="G406" s="5"/>
      <c r="H406" s="6" t="s">
        <v>16</v>
      </c>
      <c r="I406" s="5">
        <v>448</v>
      </c>
      <c r="J406" s="5">
        <v>1470</v>
      </c>
      <c r="K406" s="7" t="str">
        <f>HYPERLINK("http://www.centcols.org/util/geo/visuGen.php?code=US-PA-0448","US-PA-0448")</f>
        <v>US-PA-0448</v>
      </c>
      <c r="L406" s="8" t="s">
        <v>17</v>
      </c>
      <c r="M406" s="8" t="s">
        <v>18</v>
      </c>
      <c r="N406" s="8">
        <v>0</v>
      </c>
      <c r="O406" s="8">
        <v>0</v>
      </c>
      <c r="P406" s="8"/>
      <c r="Q406" s="5">
        <v>-77.6080369</v>
      </c>
      <c r="R406" s="5">
        <v>40.938609</v>
      </c>
      <c r="S406" s="5" t="s">
        <v>19</v>
      </c>
      <c r="T406" s="5" t="s">
        <v>20</v>
      </c>
      <c r="U406" s="8"/>
      <c r="V406" s="8"/>
      <c r="W406" s="8" t="s">
        <v>2966</v>
      </c>
      <c r="X406" s="8" t="s">
        <v>2386</v>
      </c>
    </row>
    <row r="407" spans="1:24" ht="11.25">
      <c r="A407" s="5" t="s">
        <v>21</v>
      </c>
      <c r="B407" s="5" t="s">
        <v>22</v>
      </c>
      <c r="C407" s="6" t="s">
        <v>23</v>
      </c>
      <c r="D407" s="6"/>
      <c r="E407" s="6"/>
      <c r="F407" s="5" t="s">
        <v>2189</v>
      </c>
      <c r="G407" s="5"/>
      <c r="H407" s="6" t="s">
        <v>24</v>
      </c>
      <c r="I407" s="5">
        <v>455</v>
      </c>
      <c r="J407" s="5">
        <v>1493</v>
      </c>
      <c r="K407" s="7" t="str">
        <f>HYPERLINK("http://www.centcols.org/util/geo/visuGen.php?code=US-PA-0455","US-PA-0455")</f>
        <v>US-PA-0455</v>
      </c>
      <c r="L407" s="8" t="s">
        <v>3156</v>
      </c>
      <c r="M407" s="8" t="s">
        <v>3222</v>
      </c>
      <c r="N407" s="8">
        <v>15</v>
      </c>
      <c r="O407" s="8">
        <v>99</v>
      </c>
      <c r="P407" s="8"/>
      <c r="Q407" s="5">
        <v>-78.4501289</v>
      </c>
      <c r="R407" s="5">
        <v>40.4988602</v>
      </c>
      <c r="S407" s="5" t="s">
        <v>25</v>
      </c>
      <c r="T407" s="5" t="s">
        <v>26</v>
      </c>
      <c r="U407" s="8"/>
      <c r="V407" s="9"/>
      <c r="W407" s="8" t="s">
        <v>2966</v>
      </c>
      <c r="X407" s="8" t="s">
        <v>2386</v>
      </c>
    </row>
    <row r="408" spans="1:24" ht="11.25">
      <c r="A408" s="5" t="s">
        <v>27</v>
      </c>
      <c r="B408" s="5" t="s">
        <v>28</v>
      </c>
      <c r="C408" s="6" t="s">
        <v>29</v>
      </c>
      <c r="D408" s="6"/>
      <c r="E408" s="6"/>
      <c r="F408" s="5" t="s">
        <v>2189</v>
      </c>
      <c r="G408" s="5"/>
      <c r="H408" s="6" t="s">
        <v>16</v>
      </c>
      <c r="I408" s="5">
        <v>531</v>
      </c>
      <c r="J408" s="5">
        <v>1742</v>
      </c>
      <c r="K408" s="7" t="str">
        <f>HYPERLINK("http://www.centcols.org/util/geo/visuGen.php?code=US-PA-0531","US-PA-0531")</f>
        <v>US-PA-0531</v>
      </c>
      <c r="L408" s="8" t="s">
        <v>30</v>
      </c>
      <c r="M408" s="8" t="s">
        <v>2988</v>
      </c>
      <c r="N408" s="8">
        <v>10</v>
      </c>
      <c r="O408" s="8">
        <v>35</v>
      </c>
      <c r="P408" s="8"/>
      <c r="Q408" s="5">
        <v>-77.5238608</v>
      </c>
      <c r="R408" s="5">
        <v>40.7952401</v>
      </c>
      <c r="S408" s="5" t="s">
        <v>31</v>
      </c>
      <c r="T408" s="5" t="s">
        <v>32</v>
      </c>
      <c r="U408" s="8"/>
      <c r="V408" s="8"/>
      <c r="W408" s="8" t="s">
        <v>2966</v>
      </c>
      <c r="X408" s="8" t="s">
        <v>2991</v>
      </c>
    </row>
    <row r="409" spans="1:24" ht="11.25">
      <c r="A409" s="5" t="s">
        <v>33</v>
      </c>
      <c r="B409" s="5" t="s">
        <v>34</v>
      </c>
      <c r="C409" s="6" t="s">
        <v>1463</v>
      </c>
      <c r="D409" s="6"/>
      <c r="E409" s="6"/>
      <c r="F409" s="5" t="s">
        <v>2189</v>
      </c>
      <c r="G409" s="5"/>
      <c r="H409" s="6" t="s">
        <v>1</v>
      </c>
      <c r="I409" s="5">
        <v>557</v>
      </c>
      <c r="J409" s="5">
        <v>1827</v>
      </c>
      <c r="K409" s="7" t="str">
        <f>HYPERLINK("http://www.centcols.org/util/geo/visuGen.php?code=US-PA-0557","US-PA-0557")</f>
        <v>US-PA-0557</v>
      </c>
      <c r="L409" s="8" t="s">
        <v>35</v>
      </c>
      <c r="M409" s="8"/>
      <c r="N409" s="8">
        <v>20</v>
      </c>
      <c r="O409" s="8">
        <v>99</v>
      </c>
      <c r="P409" s="8"/>
      <c r="Q409" s="5">
        <v>-77.716111</v>
      </c>
      <c r="R409" s="5">
        <v>40.445556</v>
      </c>
      <c r="S409" s="5" t="s">
        <v>36</v>
      </c>
      <c r="T409" s="5" t="s">
        <v>37</v>
      </c>
      <c r="U409" s="8"/>
      <c r="V409" s="8"/>
      <c r="W409" s="8" t="s">
        <v>2966</v>
      </c>
      <c r="X409" s="8" t="s">
        <v>3011</v>
      </c>
    </row>
    <row r="410" spans="1:24" ht="11.25">
      <c r="A410" s="5" t="s">
        <v>38</v>
      </c>
      <c r="B410" s="5" t="s">
        <v>39</v>
      </c>
      <c r="C410" s="6" t="s">
        <v>40</v>
      </c>
      <c r="D410" s="6"/>
      <c r="E410" s="6"/>
      <c r="F410" s="5" t="s">
        <v>2189</v>
      </c>
      <c r="G410" s="5"/>
      <c r="H410" s="6" t="s">
        <v>41</v>
      </c>
      <c r="I410" s="5">
        <v>701</v>
      </c>
      <c r="J410" s="5">
        <v>2300</v>
      </c>
      <c r="K410" s="7" t="str">
        <f>HYPERLINK("http://www.centcols.org/util/geo/visuGen.php?code=US-PA-0701a","US-PA-0701a")</f>
        <v>US-PA-0701a</v>
      </c>
      <c r="L410" s="8" t="s">
        <v>42</v>
      </c>
      <c r="M410" s="9" t="s">
        <v>43</v>
      </c>
      <c r="N410" s="8">
        <v>0</v>
      </c>
      <c r="O410" s="8">
        <v>0</v>
      </c>
      <c r="P410" s="8"/>
      <c r="Q410" s="5">
        <v>-78.5333489</v>
      </c>
      <c r="R410" s="5">
        <v>40.47896</v>
      </c>
      <c r="S410" s="5" t="s">
        <v>44</v>
      </c>
      <c r="T410" s="5" t="s">
        <v>45</v>
      </c>
      <c r="U410" s="8"/>
      <c r="V410" s="8"/>
      <c r="W410" s="8" t="s">
        <v>2966</v>
      </c>
      <c r="X410" s="8" t="s">
        <v>2548</v>
      </c>
    </row>
    <row r="411" spans="1:24" ht="11.25">
      <c r="A411" s="5" t="s">
        <v>46</v>
      </c>
      <c r="B411" s="5" t="s">
        <v>47</v>
      </c>
      <c r="C411" s="6" t="s">
        <v>48</v>
      </c>
      <c r="D411" s="6"/>
      <c r="E411" s="6"/>
      <c r="F411" s="5" t="s">
        <v>49</v>
      </c>
      <c r="G411" s="5"/>
      <c r="H411" s="6" t="s">
        <v>50</v>
      </c>
      <c r="I411" s="5">
        <v>821</v>
      </c>
      <c r="J411" s="5">
        <v>2694</v>
      </c>
      <c r="K411" s="7" t="str">
        <f>HYPERLINK("http://www.centcols.org/util/geo/visuGen.php?code=US-SD-0821","US-SD-0821")</f>
        <v>US-SD-0821</v>
      </c>
      <c r="L411" s="8" t="s">
        <v>51</v>
      </c>
      <c r="M411" s="8" t="s">
        <v>3113</v>
      </c>
      <c r="N411" s="8">
        <v>10</v>
      </c>
      <c r="O411" s="8">
        <v>35</v>
      </c>
      <c r="P411" s="8" t="s">
        <v>3338</v>
      </c>
      <c r="Q411" s="5">
        <v>-102.1949598</v>
      </c>
      <c r="R411" s="5">
        <v>43.8434181</v>
      </c>
      <c r="S411" s="5" t="s">
        <v>52</v>
      </c>
      <c r="T411" s="5" t="s">
        <v>53</v>
      </c>
      <c r="U411" s="8"/>
      <c r="V411" s="8" t="s">
        <v>54</v>
      </c>
      <c r="W411" s="8" t="s">
        <v>2966</v>
      </c>
      <c r="X411" s="8" t="s">
        <v>2548</v>
      </c>
    </row>
    <row r="412" spans="1:24" ht="11.25">
      <c r="A412" s="5" t="s">
        <v>55</v>
      </c>
      <c r="B412" s="5" t="s">
        <v>56</v>
      </c>
      <c r="C412" s="6" t="s">
        <v>3134</v>
      </c>
      <c r="D412" s="6"/>
      <c r="E412" s="6"/>
      <c r="F412" s="5" t="s">
        <v>1500</v>
      </c>
      <c r="G412" s="5"/>
      <c r="H412" s="6" t="s">
        <v>57</v>
      </c>
      <c r="I412" s="5">
        <v>149</v>
      </c>
      <c r="J412" s="5">
        <v>489</v>
      </c>
      <c r="K412" s="7" t="str">
        <f>HYPERLINK("http://www.centcols.org/util/geo/visuGen.php?code=US-TN-0149","US-TN-0149")</f>
        <v>US-TN-0149</v>
      </c>
      <c r="L412" s="8" t="s">
        <v>58</v>
      </c>
      <c r="M412" s="9" t="s">
        <v>59</v>
      </c>
      <c r="N412" s="8">
        <v>0</v>
      </c>
      <c r="O412" s="8">
        <v>0</v>
      </c>
      <c r="P412" s="8"/>
      <c r="Q412" s="5">
        <v>-87.1199378</v>
      </c>
      <c r="R412" s="5">
        <v>36.1485421</v>
      </c>
      <c r="S412" s="5" t="s">
        <v>60</v>
      </c>
      <c r="T412" s="5" t="s">
        <v>61</v>
      </c>
      <c r="U412" s="8"/>
      <c r="V412" s="8"/>
      <c r="W412" s="8" t="s">
        <v>2966</v>
      </c>
      <c r="X412" s="8" t="s">
        <v>2386</v>
      </c>
    </row>
    <row r="413" spans="1:24" ht="11.25">
      <c r="A413" s="5" t="s">
        <v>62</v>
      </c>
      <c r="B413" s="5" t="s">
        <v>63</v>
      </c>
      <c r="C413" s="6" t="s">
        <v>64</v>
      </c>
      <c r="D413" s="6"/>
      <c r="E413" s="6"/>
      <c r="F413" s="5" t="s">
        <v>1500</v>
      </c>
      <c r="G413" s="5"/>
      <c r="H413" s="6" t="s">
        <v>3081</v>
      </c>
      <c r="I413" s="5">
        <v>218</v>
      </c>
      <c r="J413" s="5">
        <v>715</v>
      </c>
      <c r="K413" s="7" t="str">
        <f>HYPERLINK("http://www.centcols.org/util/geo/visuGen.php?code=US-TN-0218","US-TN-0218")</f>
        <v>US-TN-0218</v>
      </c>
      <c r="L413" s="8" t="s">
        <v>65</v>
      </c>
      <c r="M413" s="9" t="s">
        <v>66</v>
      </c>
      <c r="N413" s="8">
        <v>0</v>
      </c>
      <c r="O413" s="8">
        <v>0</v>
      </c>
      <c r="P413" s="8"/>
      <c r="Q413" s="5">
        <v>-87.694718</v>
      </c>
      <c r="R413" s="5">
        <v>36.248532</v>
      </c>
      <c r="S413" s="5" t="s">
        <v>67</v>
      </c>
      <c r="T413" s="5" t="s">
        <v>68</v>
      </c>
      <c r="U413" s="8"/>
      <c r="V413" s="8"/>
      <c r="W413" s="8" t="s">
        <v>2966</v>
      </c>
      <c r="X413" s="8" t="s">
        <v>2967</v>
      </c>
    </row>
    <row r="414" spans="1:24" ht="11.25">
      <c r="A414" s="5" t="s">
        <v>69</v>
      </c>
      <c r="B414" s="5" t="s">
        <v>70</v>
      </c>
      <c r="C414" s="6" t="s">
        <v>71</v>
      </c>
      <c r="D414" s="6"/>
      <c r="E414" s="6"/>
      <c r="F414" s="5" t="s">
        <v>1500</v>
      </c>
      <c r="G414" s="5"/>
      <c r="H414" s="6" t="s">
        <v>72</v>
      </c>
      <c r="I414" s="5">
        <v>248</v>
      </c>
      <c r="J414" s="5">
        <v>814</v>
      </c>
      <c r="K414" s="7" t="str">
        <f>HYPERLINK("http://www.centcols.org/util/geo/visuGen.php?code=US-TN-0248a","US-TN-0248a")</f>
        <v>US-TN-0248a</v>
      </c>
      <c r="L414" s="8" t="s">
        <v>73</v>
      </c>
      <c r="M414" s="8" t="s">
        <v>74</v>
      </c>
      <c r="N414" s="8">
        <v>0</v>
      </c>
      <c r="O414" s="8">
        <v>0</v>
      </c>
      <c r="P414" s="8"/>
      <c r="Q414" s="5">
        <v>-84.26222</v>
      </c>
      <c r="R414" s="5">
        <v>35.87028</v>
      </c>
      <c r="S414" s="5" t="s">
        <v>75</v>
      </c>
      <c r="T414" s="5" t="s">
        <v>76</v>
      </c>
      <c r="U414" s="8"/>
      <c r="V414" s="8"/>
      <c r="W414" s="8" t="s">
        <v>2966</v>
      </c>
      <c r="X414" s="8" t="s">
        <v>2386</v>
      </c>
    </row>
    <row r="415" spans="1:24" ht="11.25">
      <c r="A415" s="5" t="s">
        <v>77</v>
      </c>
      <c r="B415" s="5" t="s">
        <v>78</v>
      </c>
      <c r="C415" s="6" t="s">
        <v>79</v>
      </c>
      <c r="D415" s="6"/>
      <c r="E415" s="6"/>
      <c r="F415" s="5" t="s">
        <v>1500</v>
      </c>
      <c r="G415" s="5"/>
      <c r="H415" s="6" t="s">
        <v>80</v>
      </c>
      <c r="I415" s="5">
        <v>250</v>
      </c>
      <c r="J415" s="5">
        <v>820</v>
      </c>
      <c r="K415" s="7" t="str">
        <f>HYPERLINK("http://www.centcols.org/util/geo/visuGen.php?code=US-TN-0250","US-TN-0250")</f>
        <v>US-TN-0250</v>
      </c>
      <c r="L415" s="8" t="s">
        <v>81</v>
      </c>
      <c r="M415" s="8" t="s">
        <v>82</v>
      </c>
      <c r="N415" s="8">
        <v>0</v>
      </c>
      <c r="O415" s="8">
        <v>0</v>
      </c>
      <c r="P415" s="8"/>
      <c r="Q415" s="5">
        <v>-84.1091649</v>
      </c>
      <c r="R415" s="5">
        <v>36.079724</v>
      </c>
      <c r="S415" s="5" t="s">
        <v>83</v>
      </c>
      <c r="T415" s="5" t="s">
        <v>84</v>
      </c>
      <c r="U415" s="8"/>
      <c r="V415" s="8"/>
      <c r="W415" s="8" t="s">
        <v>2966</v>
      </c>
      <c r="X415" s="8" t="s">
        <v>2386</v>
      </c>
    </row>
    <row r="416" spans="1:24" ht="11.25">
      <c r="A416" s="5" t="s">
        <v>85</v>
      </c>
      <c r="B416" s="5" t="s">
        <v>86</v>
      </c>
      <c r="C416" s="6" t="s">
        <v>87</v>
      </c>
      <c r="D416" s="6"/>
      <c r="E416" s="6"/>
      <c r="F416" s="5" t="s">
        <v>1500</v>
      </c>
      <c r="G416" s="5"/>
      <c r="H416" s="6" t="s">
        <v>88</v>
      </c>
      <c r="I416" s="5">
        <v>251</v>
      </c>
      <c r="J416" s="5">
        <v>823</v>
      </c>
      <c r="K416" s="7" t="str">
        <f>HYPERLINK("http://www.centcols.org/util/geo/visuGen.php?code=US-TN-0251","US-TN-0251")</f>
        <v>US-TN-0251</v>
      </c>
      <c r="L416" s="8" t="s">
        <v>89</v>
      </c>
      <c r="M416" s="9" t="s">
        <v>90</v>
      </c>
      <c r="N416" s="8">
        <v>0</v>
      </c>
      <c r="O416" s="8">
        <v>0</v>
      </c>
      <c r="P416" s="8"/>
      <c r="Q416" s="5">
        <v>-85.9406129</v>
      </c>
      <c r="R416" s="5">
        <v>36.3230711</v>
      </c>
      <c r="S416" s="5" t="s">
        <v>91</v>
      </c>
      <c r="T416" s="5" t="s">
        <v>92</v>
      </c>
      <c r="U416" s="8"/>
      <c r="V416" s="8"/>
      <c r="W416" s="8" t="s">
        <v>2966</v>
      </c>
      <c r="X416" s="8" t="s">
        <v>2967</v>
      </c>
    </row>
    <row r="417" spans="1:24" ht="11.25">
      <c r="A417" s="5" t="s">
        <v>93</v>
      </c>
      <c r="B417" s="5" t="s">
        <v>94</v>
      </c>
      <c r="C417" s="6" t="s">
        <v>95</v>
      </c>
      <c r="D417" s="6"/>
      <c r="E417" s="6"/>
      <c r="F417" s="5" t="s">
        <v>1500</v>
      </c>
      <c r="G417" s="5"/>
      <c r="H417" s="6" t="s">
        <v>96</v>
      </c>
      <c r="I417" s="5">
        <v>261</v>
      </c>
      <c r="J417" s="5">
        <v>856</v>
      </c>
      <c r="K417" s="7" t="str">
        <f>HYPERLINK("http://www.centcols.org/util/geo/visuGen.php?code=US-TN-0261","US-TN-0261")</f>
        <v>US-TN-0261</v>
      </c>
      <c r="L417" s="8" t="s">
        <v>97</v>
      </c>
      <c r="M417" s="9" t="s">
        <v>98</v>
      </c>
      <c r="N417" s="8">
        <v>0</v>
      </c>
      <c r="O417" s="8">
        <v>0</v>
      </c>
      <c r="P417" s="8"/>
      <c r="Q417" s="5">
        <v>-83.9173979</v>
      </c>
      <c r="R417" s="5">
        <v>35.866482</v>
      </c>
      <c r="S417" s="5" t="s">
        <v>99</v>
      </c>
      <c r="T417" s="5" t="s">
        <v>100</v>
      </c>
      <c r="U417" s="8"/>
      <c r="V417" s="8"/>
      <c r="W417" s="8" t="s">
        <v>2966</v>
      </c>
      <c r="X417" s="8" t="s">
        <v>2991</v>
      </c>
    </row>
    <row r="418" spans="1:24" ht="11.25">
      <c r="A418" s="5" t="s">
        <v>101</v>
      </c>
      <c r="B418" s="5" t="s">
        <v>102</v>
      </c>
      <c r="C418" s="6" t="s">
        <v>103</v>
      </c>
      <c r="D418" s="6"/>
      <c r="E418" s="6"/>
      <c r="F418" s="5" t="s">
        <v>1500</v>
      </c>
      <c r="G418" s="5"/>
      <c r="H418" s="6" t="s">
        <v>96</v>
      </c>
      <c r="I418" s="5">
        <v>269</v>
      </c>
      <c r="J418" s="5">
        <v>883</v>
      </c>
      <c r="K418" s="7" t="str">
        <f>HYPERLINK("http://www.centcols.org/util/geo/visuGen.php?code=US-TN-0269a","US-TN-0269a")</f>
        <v>US-TN-0269a</v>
      </c>
      <c r="L418" s="8" t="s">
        <v>104</v>
      </c>
      <c r="M418" s="8" t="s">
        <v>105</v>
      </c>
      <c r="N418" s="8">
        <v>0</v>
      </c>
      <c r="O418" s="8">
        <v>0</v>
      </c>
      <c r="P418" s="8"/>
      <c r="Q418" s="5">
        <v>-83.9911088</v>
      </c>
      <c r="R418" s="5">
        <v>36.1208351</v>
      </c>
      <c r="S418" s="5" t="s">
        <v>106</v>
      </c>
      <c r="T418" s="5" t="s">
        <v>107</v>
      </c>
      <c r="U418" s="8"/>
      <c r="V418" s="8"/>
      <c r="W418" s="8" t="s">
        <v>2966</v>
      </c>
      <c r="X418" s="8" t="s">
        <v>2991</v>
      </c>
    </row>
    <row r="419" spans="1:24" ht="11.25">
      <c r="A419" s="5" t="s">
        <v>108</v>
      </c>
      <c r="B419" s="5" t="s">
        <v>109</v>
      </c>
      <c r="C419" s="6" t="s">
        <v>110</v>
      </c>
      <c r="D419" s="6"/>
      <c r="E419" s="6"/>
      <c r="F419" s="5" t="s">
        <v>1500</v>
      </c>
      <c r="G419" s="5"/>
      <c r="H419" s="6" t="s">
        <v>111</v>
      </c>
      <c r="I419" s="5">
        <v>280</v>
      </c>
      <c r="J419" s="5">
        <v>919</v>
      </c>
      <c r="K419" s="7" t="str">
        <f>HYPERLINK("http://www.centcols.org/util/geo/visuGen.php?code=US-TN-0280","US-TN-0280")</f>
        <v>US-TN-0280</v>
      </c>
      <c r="L419" s="8" t="s">
        <v>112</v>
      </c>
      <c r="M419" s="8" t="s">
        <v>3222</v>
      </c>
      <c r="N419" s="8">
        <v>15</v>
      </c>
      <c r="O419" s="8">
        <v>99</v>
      </c>
      <c r="P419" s="8"/>
      <c r="Q419" s="5">
        <v>-87.3507959</v>
      </c>
      <c r="R419" s="5">
        <v>35.6024541</v>
      </c>
      <c r="S419" s="5" t="s">
        <v>113</v>
      </c>
      <c r="T419" s="5" t="s">
        <v>114</v>
      </c>
      <c r="U419" s="8"/>
      <c r="V419" s="8"/>
      <c r="W419" s="8" t="s">
        <v>2966</v>
      </c>
      <c r="X419" s="8" t="s">
        <v>3202</v>
      </c>
    </row>
    <row r="420" spans="1:24" ht="11.25">
      <c r="A420" s="5" t="s">
        <v>115</v>
      </c>
      <c r="B420" s="5" t="s">
        <v>116</v>
      </c>
      <c r="C420" s="6" t="s">
        <v>117</v>
      </c>
      <c r="D420" s="6"/>
      <c r="E420" s="6"/>
      <c r="F420" s="5" t="s">
        <v>1500</v>
      </c>
      <c r="G420" s="5"/>
      <c r="H420" s="6" t="s">
        <v>96</v>
      </c>
      <c r="I420" s="5">
        <v>297</v>
      </c>
      <c r="J420" s="5">
        <v>974</v>
      </c>
      <c r="K420" s="7" t="str">
        <f>HYPERLINK("http://www.centcols.org/util/geo/visuGen.php?code=US-TN-0297b","US-TN-0297b")</f>
        <v>US-TN-0297b</v>
      </c>
      <c r="L420" s="8" t="s">
        <v>118</v>
      </c>
      <c r="M420" s="9" t="s">
        <v>119</v>
      </c>
      <c r="N420" s="8">
        <v>0</v>
      </c>
      <c r="O420" s="8">
        <v>0</v>
      </c>
      <c r="P420" s="8"/>
      <c r="Q420" s="5">
        <v>-84.0605579</v>
      </c>
      <c r="R420" s="5">
        <v>35.990562</v>
      </c>
      <c r="S420" s="5" t="s">
        <v>120</v>
      </c>
      <c r="T420" s="5" t="s">
        <v>121</v>
      </c>
      <c r="U420" s="8"/>
      <c r="V420" s="8"/>
      <c r="W420" s="8" t="s">
        <v>2966</v>
      </c>
      <c r="X420" s="8" t="s">
        <v>2991</v>
      </c>
    </row>
    <row r="421" spans="1:24" ht="11.25">
      <c r="A421" s="5" t="s">
        <v>122</v>
      </c>
      <c r="B421" s="5" t="s">
        <v>123</v>
      </c>
      <c r="C421" s="6" t="s">
        <v>124</v>
      </c>
      <c r="D421" s="6"/>
      <c r="E421" s="6"/>
      <c r="F421" s="5" t="s">
        <v>1500</v>
      </c>
      <c r="G421" s="5"/>
      <c r="H421" s="6" t="s">
        <v>96</v>
      </c>
      <c r="I421" s="5">
        <v>298</v>
      </c>
      <c r="J421" s="5">
        <v>978</v>
      </c>
      <c r="K421" s="7" t="str">
        <f>HYPERLINK("http://www.centcols.org/util/geo/visuGen.php?code=US-TN-0298a","US-TN-0298a")</f>
        <v>US-TN-0298a</v>
      </c>
      <c r="L421" s="8" t="s">
        <v>125</v>
      </c>
      <c r="M421" s="8" t="s">
        <v>2988</v>
      </c>
      <c r="N421" s="8">
        <v>10</v>
      </c>
      <c r="O421" s="8">
        <v>35</v>
      </c>
      <c r="P421" s="8"/>
      <c r="Q421" s="5">
        <v>-83.7777059</v>
      </c>
      <c r="R421" s="5">
        <v>36.089277</v>
      </c>
      <c r="S421" s="5" t="s">
        <v>126</v>
      </c>
      <c r="T421" s="5" t="s">
        <v>127</v>
      </c>
      <c r="U421" s="8"/>
      <c r="V421" s="8"/>
      <c r="W421" s="8" t="s">
        <v>2966</v>
      </c>
      <c r="X421" s="8" t="s">
        <v>2991</v>
      </c>
    </row>
    <row r="422" spans="1:24" ht="11.25">
      <c r="A422" s="5" t="s">
        <v>128</v>
      </c>
      <c r="B422" s="5" t="s">
        <v>129</v>
      </c>
      <c r="C422" s="6" t="s">
        <v>130</v>
      </c>
      <c r="D422" s="6"/>
      <c r="E422" s="6"/>
      <c r="F422" s="5" t="s">
        <v>1500</v>
      </c>
      <c r="G422" s="5"/>
      <c r="H422" s="6" t="s">
        <v>96</v>
      </c>
      <c r="I422" s="5">
        <v>299</v>
      </c>
      <c r="J422" s="5">
        <v>981</v>
      </c>
      <c r="K422" s="7" t="str">
        <f>HYPERLINK("http://www.centcols.org/util/geo/visuGen.php?code=US-TN-0299","US-TN-0299")</f>
        <v>US-TN-0299</v>
      </c>
      <c r="L422" s="8" t="s">
        <v>131</v>
      </c>
      <c r="M422" s="9" t="s">
        <v>132</v>
      </c>
      <c r="N422" s="8">
        <v>0</v>
      </c>
      <c r="O422" s="8">
        <v>0</v>
      </c>
      <c r="P422" s="8"/>
      <c r="Q422" s="5">
        <v>-83.9537478</v>
      </c>
      <c r="R422" s="5">
        <v>35.996982</v>
      </c>
      <c r="S422" s="5" t="s">
        <v>133</v>
      </c>
      <c r="T422" s="5" t="s">
        <v>134</v>
      </c>
      <c r="U422" s="8"/>
      <c r="V422" s="8"/>
      <c r="W422" s="8" t="s">
        <v>2966</v>
      </c>
      <c r="X422" s="8" t="s">
        <v>2991</v>
      </c>
    </row>
    <row r="423" spans="1:24" ht="11.25">
      <c r="A423" s="5" t="s">
        <v>135</v>
      </c>
      <c r="B423" s="5" t="s">
        <v>136</v>
      </c>
      <c r="C423" s="6" t="s">
        <v>137</v>
      </c>
      <c r="D423" s="6"/>
      <c r="E423" s="6"/>
      <c r="F423" s="5" t="s">
        <v>1500</v>
      </c>
      <c r="G423" s="5"/>
      <c r="H423" s="6" t="s">
        <v>96</v>
      </c>
      <c r="I423" s="5">
        <v>324</v>
      </c>
      <c r="J423" s="5">
        <v>1063</v>
      </c>
      <c r="K423" s="7" t="str">
        <f>HYPERLINK("http://www.centcols.org/util/geo/visuGen.php?code=US-TN-0324a","US-TN-0324a")</f>
        <v>US-TN-0324a</v>
      </c>
      <c r="L423" s="8" t="s">
        <v>104</v>
      </c>
      <c r="M423" s="8" t="s">
        <v>138</v>
      </c>
      <c r="N423" s="8">
        <v>0</v>
      </c>
      <c r="O423" s="8">
        <v>0</v>
      </c>
      <c r="P423" s="8"/>
      <c r="Q423" s="5">
        <v>-83.8984819</v>
      </c>
      <c r="R423" s="5">
        <v>36.0787411</v>
      </c>
      <c r="S423" s="5" t="s">
        <v>139</v>
      </c>
      <c r="T423" s="5" t="s">
        <v>140</v>
      </c>
      <c r="U423" s="8"/>
      <c r="V423" s="8"/>
      <c r="W423" s="8" t="s">
        <v>2966</v>
      </c>
      <c r="X423" s="8" t="s">
        <v>2991</v>
      </c>
    </row>
    <row r="424" spans="1:24" ht="11.25">
      <c r="A424" s="5" t="s">
        <v>141</v>
      </c>
      <c r="B424" s="5" t="s">
        <v>142</v>
      </c>
      <c r="C424" s="6" t="s">
        <v>143</v>
      </c>
      <c r="D424" s="6"/>
      <c r="E424" s="6"/>
      <c r="F424" s="5" t="s">
        <v>1500</v>
      </c>
      <c r="G424" s="5"/>
      <c r="H424" s="6" t="s">
        <v>96</v>
      </c>
      <c r="I424" s="5">
        <v>325</v>
      </c>
      <c r="J424" s="5">
        <v>1066</v>
      </c>
      <c r="K424" s="7" t="str">
        <f>HYPERLINK("http://www.centcols.org/util/geo/visuGen.php?code=US-TN-0325b","US-TN-0325b")</f>
        <v>US-TN-0325b</v>
      </c>
      <c r="L424" s="8" t="s">
        <v>104</v>
      </c>
      <c r="M424" s="8" t="s">
        <v>144</v>
      </c>
      <c r="N424" s="8">
        <v>0</v>
      </c>
      <c r="O424" s="8">
        <v>0</v>
      </c>
      <c r="P424" s="8"/>
      <c r="Q424" s="5">
        <v>-83.926387</v>
      </c>
      <c r="R424" s="5">
        <v>36.0663911</v>
      </c>
      <c r="S424" s="5" t="s">
        <v>145</v>
      </c>
      <c r="T424" s="5" t="s">
        <v>146</v>
      </c>
      <c r="U424" s="8"/>
      <c r="V424" s="8"/>
      <c r="W424" s="8" t="s">
        <v>2966</v>
      </c>
      <c r="X424" s="8" t="s">
        <v>2991</v>
      </c>
    </row>
    <row r="425" spans="1:24" ht="11.25">
      <c r="A425" s="5" t="s">
        <v>147</v>
      </c>
      <c r="B425" s="5" t="s">
        <v>148</v>
      </c>
      <c r="C425" s="6" t="s">
        <v>149</v>
      </c>
      <c r="D425" s="6"/>
      <c r="E425" s="6"/>
      <c r="F425" s="5" t="s">
        <v>1500</v>
      </c>
      <c r="G425" s="5"/>
      <c r="H425" s="6" t="s">
        <v>2372</v>
      </c>
      <c r="I425" s="5">
        <v>329</v>
      </c>
      <c r="J425" s="5">
        <v>1079</v>
      </c>
      <c r="K425" s="7" t="str">
        <f>HYPERLINK("http://www.centcols.org/util/geo/visuGen.php?code=US-TN-0329","US-TN-0329")</f>
        <v>US-TN-0329</v>
      </c>
      <c r="L425" s="8" t="s">
        <v>150</v>
      </c>
      <c r="M425" s="8" t="s">
        <v>151</v>
      </c>
      <c r="N425" s="8">
        <v>0</v>
      </c>
      <c r="O425" s="8">
        <v>0</v>
      </c>
      <c r="P425" s="8"/>
      <c r="Q425" s="5">
        <v>-83.921524</v>
      </c>
      <c r="R425" s="5">
        <v>36.2192031</v>
      </c>
      <c r="S425" s="5" t="s">
        <v>152</v>
      </c>
      <c r="T425" s="5" t="s">
        <v>153</v>
      </c>
      <c r="U425" s="8"/>
      <c r="V425" s="8"/>
      <c r="W425" s="8" t="s">
        <v>2966</v>
      </c>
      <c r="X425" s="8" t="s">
        <v>2991</v>
      </c>
    </row>
    <row r="426" spans="1:24" ht="11.25">
      <c r="A426" s="5" t="s">
        <v>154</v>
      </c>
      <c r="B426" s="5" t="s">
        <v>155</v>
      </c>
      <c r="C426" s="6" t="s">
        <v>156</v>
      </c>
      <c r="D426" s="6"/>
      <c r="E426" s="6"/>
      <c r="F426" s="5" t="s">
        <v>1500</v>
      </c>
      <c r="G426" s="5"/>
      <c r="H426" s="6" t="s">
        <v>96</v>
      </c>
      <c r="I426" s="5">
        <v>334</v>
      </c>
      <c r="J426" s="5">
        <v>1096</v>
      </c>
      <c r="K426" s="7" t="str">
        <f>HYPERLINK("http://www.centcols.org/util/geo/visuGen.php?code=US-TN-0334","US-TN-0334")</f>
        <v>US-TN-0334</v>
      </c>
      <c r="L426" s="8" t="s">
        <v>157</v>
      </c>
      <c r="M426" s="9" t="s">
        <v>158</v>
      </c>
      <c r="N426" s="8">
        <v>0</v>
      </c>
      <c r="O426" s="8">
        <v>0</v>
      </c>
      <c r="P426" s="8"/>
      <c r="Q426" s="5">
        <v>-83.7604479</v>
      </c>
      <c r="R426" s="5">
        <v>35.9803111</v>
      </c>
      <c r="S426" s="5" t="s">
        <v>159</v>
      </c>
      <c r="T426" s="5" t="s">
        <v>160</v>
      </c>
      <c r="U426" s="8"/>
      <c r="V426" s="8"/>
      <c r="W426" s="8" t="s">
        <v>2966</v>
      </c>
      <c r="X426" s="8" t="s">
        <v>161</v>
      </c>
    </row>
    <row r="427" spans="1:24" ht="11.25">
      <c r="A427" s="5" t="s">
        <v>162</v>
      </c>
      <c r="B427" s="5" t="s">
        <v>163</v>
      </c>
      <c r="C427" s="6" t="s">
        <v>164</v>
      </c>
      <c r="D427" s="6"/>
      <c r="E427" s="6"/>
      <c r="F427" s="5" t="s">
        <v>1500</v>
      </c>
      <c r="G427" s="5"/>
      <c r="H427" s="6" t="s">
        <v>165</v>
      </c>
      <c r="I427" s="5">
        <v>354</v>
      </c>
      <c r="J427" s="5">
        <v>1161</v>
      </c>
      <c r="K427" s="7" t="str">
        <f>HYPERLINK("http://www.centcols.org/util/geo/visuGen.php?code=US-TN-0354a","US-TN-0354a")</f>
        <v>US-TN-0354a</v>
      </c>
      <c r="L427" s="8" t="s">
        <v>166</v>
      </c>
      <c r="M427" s="9" t="s">
        <v>167</v>
      </c>
      <c r="N427" s="8">
        <v>0</v>
      </c>
      <c r="O427" s="8">
        <v>0</v>
      </c>
      <c r="P427" s="8"/>
      <c r="Q427" s="5">
        <v>-86.7459779</v>
      </c>
      <c r="R427" s="5">
        <v>35.760322</v>
      </c>
      <c r="S427" s="5" t="s">
        <v>168</v>
      </c>
      <c r="T427" s="5" t="s">
        <v>169</v>
      </c>
      <c r="U427" s="8"/>
      <c r="V427" s="8"/>
      <c r="W427" s="8" t="s">
        <v>2966</v>
      </c>
      <c r="X427" s="8" t="s">
        <v>2967</v>
      </c>
    </row>
    <row r="428" spans="1:24" ht="11.25">
      <c r="A428" s="5" t="s">
        <v>170</v>
      </c>
      <c r="B428" s="5" t="s">
        <v>171</v>
      </c>
      <c r="C428" s="6" t="s">
        <v>172</v>
      </c>
      <c r="D428" s="6"/>
      <c r="E428" s="6"/>
      <c r="F428" s="5" t="s">
        <v>1500</v>
      </c>
      <c r="G428" s="5"/>
      <c r="H428" s="6" t="s">
        <v>173</v>
      </c>
      <c r="I428" s="5">
        <v>358</v>
      </c>
      <c r="J428" s="5">
        <v>1175</v>
      </c>
      <c r="K428" s="7" t="str">
        <f>HYPERLINK("http://www.centcols.org/util/geo/visuGen.php?code=US-TN-0358a","US-TN-0358a")</f>
        <v>US-TN-0358a</v>
      </c>
      <c r="L428" s="8" t="s">
        <v>174</v>
      </c>
      <c r="M428" s="9" t="s">
        <v>175</v>
      </c>
      <c r="N428" s="8">
        <v>0</v>
      </c>
      <c r="O428" s="8">
        <v>0</v>
      </c>
      <c r="P428" s="8"/>
      <c r="Q428" s="5">
        <v>-83.5844948</v>
      </c>
      <c r="R428" s="5">
        <v>36.2322131</v>
      </c>
      <c r="S428" s="5" t="s">
        <v>176</v>
      </c>
      <c r="T428" s="5" t="s">
        <v>177</v>
      </c>
      <c r="U428" s="8"/>
      <c r="V428" s="8"/>
      <c r="W428" s="8" t="s">
        <v>2966</v>
      </c>
      <c r="X428" s="8" t="s">
        <v>2991</v>
      </c>
    </row>
    <row r="429" spans="1:24" ht="11.25">
      <c r="A429" s="5" t="s">
        <v>178</v>
      </c>
      <c r="B429" s="5" t="s">
        <v>179</v>
      </c>
      <c r="C429" s="6" t="s">
        <v>180</v>
      </c>
      <c r="D429" s="6"/>
      <c r="E429" s="6"/>
      <c r="F429" s="5" t="s">
        <v>1500</v>
      </c>
      <c r="G429" s="5"/>
      <c r="H429" s="6" t="s">
        <v>181</v>
      </c>
      <c r="I429" s="5">
        <v>374</v>
      </c>
      <c r="J429" s="5">
        <v>1227</v>
      </c>
      <c r="K429" s="7" t="str">
        <f>HYPERLINK("http://www.centcols.org/util/geo/visuGen.php?code=US-TN-0374a","US-TN-0374a")</f>
        <v>US-TN-0374a</v>
      </c>
      <c r="L429" s="8" t="s">
        <v>182</v>
      </c>
      <c r="M429" s="8" t="s">
        <v>2988</v>
      </c>
      <c r="N429" s="8">
        <v>10</v>
      </c>
      <c r="O429" s="8">
        <v>35</v>
      </c>
      <c r="P429" s="8"/>
      <c r="Q429" s="5">
        <v>-83.0038889</v>
      </c>
      <c r="R429" s="5">
        <v>36.286474</v>
      </c>
      <c r="S429" s="5" t="s">
        <v>183</v>
      </c>
      <c r="T429" s="5" t="s">
        <v>184</v>
      </c>
      <c r="U429" s="8"/>
      <c r="V429" s="8"/>
      <c r="W429" s="8" t="s">
        <v>2966</v>
      </c>
      <c r="X429" s="8" t="s">
        <v>2991</v>
      </c>
    </row>
    <row r="430" spans="1:24" ht="11.25">
      <c r="A430" s="5" t="s">
        <v>185</v>
      </c>
      <c r="B430" s="5" t="s">
        <v>186</v>
      </c>
      <c r="C430" s="6" t="s">
        <v>187</v>
      </c>
      <c r="D430" s="6"/>
      <c r="E430" s="6"/>
      <c r="F430" s="5" t="s">
        <v>1500</v>
      </c>
      <c r="G430" s="5"/>
      <c r="H430" s="6" t="s">
        <v>181</v>
      </c>
      <c r="I430" s="5">
        <v>378</v>
      </c>
      <c r="J430" s="5">
        <v>1240</v>
      </c>
      <c r="K430" s="7" t="str">
        <f>HYPERLINK("http://www.centcols.org/util/geo/visuGen.php?code=US-TN-0378","US-TN-0378")</f>
        <v>US-TN-0378</v>
      </c>
      <c r="L430" s="8" t="s">
        <v>188</v>
      </c>
      <c r="M430" s="8" t="s">
        <v>2988</v>
      </c>
      <c r="N430" s="8">
        <v>10</v>
      </c>
      <c r="O430" s="8">
        <v>35</v>
      </c>
      <c r="P430" s="8"/>
      <c r="Q430" s="5">
        <v>-82.9083909</v>
      </c>
      <c r="R430" s="5">
        <v>36.3564111</v>
      </c>
      <c r="S430" s="5" t="s">
        <v>189</v>
      </c>
      <c r="T430" s="5" t="s">
        <v>190</v>
      </c>
      <c r="U430" s="8"/>
      <c r="V430" s="8"/>
      <c r="W430" s="8" t="s">
        <v>2966</v>
      </c>
      <c r="X430" s="8" t="s">
        <v>2991</v>
      </c>
    </row>
    <row r="431" spans="1:24" ht="11.25">
      <c r="A431" s="5" t="s">
        <v>191</v>
      </c>
      <c r="B431" s="5" t="s">
        <v>192</v>
      </c>
      <c r="C431" s="6" t="s">
        <v>193</v>
      </c>
      <c r="D431" s="6"/>
      <c r="E431" s="6"/>
      <c r="F431" s="5" t="s">
        <v>1500</v>
      </c>
      <c r="G431" s="5"/>
      <c r="H431" s="6" t="s">
        <v>181</v>
      </c>
      <c r="I431" s="5">
        <v>378</v>
      </c>
      <c r="J431" s="5">
        <v>1240</v>
      </c>
      <c r="K431" s="7" t="str">
        <f>HYPERLINK("http://www.centcols.org/util/geo/visuGen.php?code=US-TN-0378a","US-TN-0378a")</f>
        <v>US-TN-0378a</v>
      </c>
      <c r="L431" s="8" t="s">
        <v>194</v>
      </c>
      <c r="M431" s="8" t="s">
        <v>2988</v>
      </c>
      <c r="N431" s="8">
        <v>10</v>
      </c>
      <c r="O431" s="8">
        <v>35</v>
      </c>
      <c r="P431" s="8"/>
      <c r="Q431" s="5">
        <v>-82.8441649</v>
      </c>
      <c r="R431" s="5">
        <v>36.4241691</v>
      </c>
      <c r="S431" s="5" t="s">
        <v>195</v>
      </c>
      <c r="T431" s="5" t="s">
        <v>196</v>
      </c>
      <c r="U431" s="8"/>
      <c r="V431" s="8"/>
      <c r="W431" s="8" t="s">
        <v>2966</v>
      </c>
      <c r="X431" s="8" t="s">
        <v>2991</v>
      </c>
    </row>
    <row r="432" spans="1:24" ht="11.25">
      <c r="A432" s="5" t="s">
        <v>197</v>
      </c>
      <c r="B432" s="5" t="s">
        <v>198</v>
      </c>
      <c r="C432" s="6" t="s">
        <v>199</v>
      </c>
      <c r="D432" s="6"/>
      <c r="E432" s="6"/>
      <c r="F432" s="5" t="s">
        <v>1500</v>
      </c>
      <c r="G432" s="5"/>
      <c r="H432" s="6" t="s">
        <v>1235</v>
      </c>
      <c r="I432" s="5">
        <v>400</v>
      </c>
      <c r="J432" s="5">
        <v>1312</v>
      </c>
      <c r="K432" s="7" t="str">
        <f>HYPERLINK("http://www.centcols.org/util/geo/visuGen.php?code=US-TN-0400","US-TN-0400")</f>
        <v>US-TN-0400</v>
      </c>
      <c r="L432" s="8" t="s">
        <v>200</v>
      </c>
      <c r="M432" s="9" t="s">
        <v>201</v>
      </c>
      <c r="N432" s="8">
        <v>0</v>
      </c>
      <c r="O432" s="8">
        <v>0</v>
      </c>
      <c r="P432" s="8"/>
      <c r="Q432" s="5">
        <v>-85.4459229</v>
      </c>
      <c r="R432" s="5">
        <v>35.0572331</v>
      </c>
      <c r="S432" s="5" t="s">
        <v>202</v>
      </c>
      <c r="T432" s="5" t="s">
        <v>203</v>
      </c>
      <c r="U432" s="8"/>
      <c r="V432" s="8"/>
      <c r="W432" s="8" t="s">
        <v>2966</v>
      </c>
      <c r="X432" s="8" t="s">
        <v>204</v>
      </c>
    </row>
    <row r="433" spans="1:24" ht="11.25">
      <c r="A433" s="5" t="s">
        <v>205</v>
      </c>
      <c r="B433" s="5" t="s">
        <v>206</v>
      </c>
      <c r="C433" s="6" t="s">
        <v>207</v>
      </c>
      <c r="D433" s="6"/>
      <c r="E433" s="6"/>
      <c r="F433" s="5" t="s">
        <v>1500</v>
      </c>
      <c r="G433" s="5"/>
      <c r="H433" s="6" t="s">
        <v>2995</v>
      </c>
      <c r="I433" s="5">
        <v>411</v>
      </c>
      <c r="J433" s="5">
        <v>1348</v>
      </c>
      <c r="K433" s="7" t="str">
        <f>HYPERLINK("http://www.centcols.org/util/geo/visuGen.php?code=US-TN-0411b","US-TN-0411b")</f>
        <v>US-TN-0411b</v>
      </c>
      <c r="L433" s="8" t="s">
        <v>208</v>
      </c>
      <c r="M433" s="8" t="s">
        <v>209</v>
      </c>
      <c r="N433" s="8">
        <v>0</v>
      </c>
      <c r="O433" s="8">
        <v>0</v>
      </c>
      <c r="P433" s="8"/>
      <c r="Q433" s="5">
        <v>-83.3841648</v>
      </c>
      <c r="R433" s="5">
        <v>36.1091691</v>
      </c>
      <c r="S433" s="5" t="s">
        <v>210</v>
      </c>
      <c r="T433" s="5" t="s">
        <v>211</v>
      </c>
      <c r="U433" s="8"/>
      <c r="V433" s="8"/>
      <c r="W433" s="8" t="s">
        <v>2966</v>
      </c>
      <c r="X433" s="8" t="s">
        <v>2991</v>
      </c>
    </row>
    <row r="434" spans="1:24" ht="11.25">
      <c r="A434" s="5" t="s">
        <v>212</v>
      </c>
      <c r="B434" s="5" t="s">
        <v>213</v>
      </c>
      <c r="C434" s="6" t="s">
        <v>214</v>
      </c>
      <c r="D434" s="6"/>
      <c r="E434" s="6"/>
      <c r="F434" s="5" t="s">
        <v>1500</v>
      </c>
      <c r="G434" s="5"/>
      <c r="H434" s="6" t="s">
        <v>181</v>
      </c>
      <c r="I434" s="5">
        <v>444</v>
      </c>
      <c r="J434" s="5">
        <v>1457</v>
      </c>
      <c r="K434" s="7" t="str">
        <f>HYPERLINK("http://www.centcols.org/util/geo/visuGen.php?code=US-TN-0444","US-TN-0444")</f>
        <v>US-TN-0444</v>
      </c>
      <c r="L434" s="8" t="s">
        <v>215</v>
      </c>
      <c r="M434" s="9" t="s">
        <v>216</v>
      </c>
      <c r="N434" s="8">
        <v>0</v>
      </c>
      <c r="O434" s="8">
        <v>0</v>
      </c>
      <c r="P434" s="8"/>
      <c r="Q434" s="5">
        <v>-82.6880079</v>
      </c>
      <c r="R434" s="5">
        <v>36.586118</v>
      </c>
      <c r="S434" s="5" t="s">
        <v>217</v>
      </c>
      <c r="T434" s="5" t="s">
        <v>218</v>
      </c>
      <c r="U434" s="8"/>
      <c r="V434" s="8"/>
      <c r="W434" s="8" t="s">
        <v>2966</v>
      </c>
      <c r="X434" s="8" t="s">
        <v>2991</v>
      </c>
    </row>
    <row r="435" spans="1:24" ht="11.25">
      <c r="A435" s="5" t="s">
        <v>219</v>
      </c>
      <c r="B435" s="5" t="s">
        <v>220</v>
      </c>
      <c r="C435" s="6" t="s">
        <v>221</v>
      </c>
      <c r="D435" s="6"/>
      <c r="E435" s="6"/>
      <c r="F435" s="5" t="s">
        <v>1500</v>
      </c>
      <c r="G435" s="5"/>
      <c r="H435" s="6" t="s">
        <v>181</v>
      </c>
      <c r="I435" s="5">
        <v>445</v>
      </c>
      <c r="J435" s="5">
        <v>1460</v>
      </c>
      <c r="K435" s="7" t="str">
        <f>HYPERLINK("http://www.centcols.org/util/geo/visuGen.php?code=US-TN-0445","US-TN-0445")</f>
        <v>US-TN-0445</v>
      </c>
      <c r="L435" s="8" t="s">
        <v>222</v>
      </c>
      <c r="M435" s="8" t="s">
        <v>2988</v>
      </c>
      <c r="N435" s="8">
        <v>10</v>
      </c>
      <c r="O435" s="8">
        <v>35</v>
      </c>
      <c r="P435" s="8"/>
      <c r="Q435" s="5">
        <v>-82.7863449</v>
      </c>
      <c r="R435" s="5">
        <v>36.5842661</v>
      </c>
      <c r="S435" s="5" t="s">
        <v>223</v>
      </c>
      <c r="T435" s="5" t="s">
        <v>224</v>
      </c>
      <c r="U435" s="8"/>
      <c r="V435" s="8"/>
      <c r="W435" s="8" t="s">
        <v>2966</v>
      </c>
      <c r="X435" s="8" t="s">
        <v>2991</v>
      </c>
    </row>
    <row r="436" spans="1:24" ht="11.25">
      <c r="A436" s="5" t="s">
        <v>225</v>
      </c>
      <c r="B436" s="5" t="s">
        <v>226</v>
      </c>
      <c r="C436" s="6" t="s">
        <v>227</v>
      </c>
      <c r="D436" s="6"/>
      <c r="E436" s="6"/>
      <c r="F436" s="5" t="s">
        <v>1500</v>
      </c>
      <c r="G436" s="5" t="s">
        <v>1289</v>
      </c>
      <c r="H436" s="6" t="s">
        <v>228</v>
      </c>
      <c r="I436" s="5">
        <v>476</v>
      </c>
      <c r="J436" s="5">
        <v>1562</v>
      </c>
      <c r="K436" s="7" t="str">
        <f>HYPERLINK("http://www.centcols.org/util/geo/visuGen.php?code=US-TN-0476a","US-TN-0476a")</f>
        <v>US-TN-0476a</v>
      </c>
      <c r="L436" s="8" t="s">
        <v>229</v>
      </c>
      <c r="M436" s="8"/>
      <c r="N436" s="8">
        <v>0</v>
      </c>
      <c r="O436" s="8">
        <v>0</v>
      </c>
      <c r="P436" s="8"/>
      <c r="Q436" s="5">
        <v>-82.517222</v>
      </c>
      <c r="R436" s="5">
        <v>36.595</v>
      </c>
      <c r="S436" s="5" t="s">
        <v>230</v>
      </c>
      <c r="T436" s="5" t="s">
        <v>231</v>
      </c>
      <c r="U436" s="8"/>
      <c r="V436" s="8"/>
      <c r="W436" s="8" t="s">
        <v>2966</v>
      </c>
      <c r="X436" s="8" t="s">
        <v>3011</v>
      </c>
    </row>
    <row r="437" spans="1:24" ht="11.25">
      <c r="A437" s="5" t="s">
        <v>232</v>
      </c>
      <c r="B437" s="5" t="s">
        <v>233</v>
      </c>
      <c r="C437" s="6" t="s">
        <v>234</v>
      </c>
      <c r="D437" s="6"/>
      <c r="E437" s="6"/>
      <c r="F437" s="5" t="s">
        <v>1500</v>
      </c>
      <c r="G437" s="5"/>
      <c r="H437" s="6" t="s">
        <v>235</v>
      </c>
      <c r="I437" s="5">
        <v>493</v>
      </c>
      <c r="J437" s="5">
        <v>1617</v>
      </c>
      <c r="K437" s="7" t="str">
        <f>HYPERLINK("http://www.centcols.org/util/geo/visuGen.php?code=US-TN-0493","US-TN-0493")</f>
        <v>US-TN-0493</v>
      </c>
      <c r="L437" s="8" t="s">
        <v>236</v>
      </c>
      <c r="M437" s="8" t="s">
        <v>237</v>
      </c>
      <c r="N437" s="8">
        <v>0</v>
      </c>
      <c r="O437" s="8">
        <v>0</v>
      </c>
      <c r="P437" s="8"/>
      <c r="Q437" s="5">
        <v>-82.6930539</v>
      </c>
      <c r="R437" s="5">
        <v>36.253335</v>
      </c>
      <c r="S437" s="5" t="s">
        <v>238</v>
      </c>
      <c r="T437" s="5" t="s">
        <v>239</v>
      </c>
      <c r="U437" s="8"/>
      <c r="V437" s="8"/>
      <c r="W437" s="8" t="s">
        <v>2966</v>
      </c>
      <c r="X437" s="8" t="s">
        <v>2991</v>
      </c>
    </row>
    <row r="438" spans="1:24" ht="11.25">
      <c r="A438" s="5" t="s">
        <v>240</v>
      </c>
      <c r="B438" s="5" t="s">
        <v>241</v>
      </c>
      <c r="C438" s="6" t="s">
        <v>242</v>
      </c>
      <c r="D438" s="6"/>
      <c r="E438" s="6"/>
      <c r="F438" s="5" t="s">
        <v>1500</v>
      </c>
      <c r="G438" s="5"/>
      <c r="H438" s="6" t="s">
        <v>1900</v>
      </c>
      <c r="I438" s="5">
        <v>495</v>
      </c>
      <c r="J438" s="5">
        <v>1624</v>
      </c>
      <c r="K438" s="7" t="str">
        <f>HYPERLINK("http://www.centcols.org/util/geo/visuGen.php?code=US-TN-0495","US-TN-0495")</f>
        <v>US-TN-0495</v>
      </c>
      <c r="L438" s="8" t="s">
        <v>2430</v>
      </c>
      <c r="M438" s="8"/>
      <c r="N438" s="8">
        <v>10</v>
      </c>
      <c r="O438" s="8">
        <v>35</v>
      </c>
      <c r="P438" s="8"/>
      <c r="Q438" s="5">
        <v>-84.610278</v>
      </c>
      <c r="R438" s="5">
        <v>34.989722</v>
      </c>
      <c r="S438" s="5" t="s">
        <v>243</v>
      </c>
      <c r="T438" s="5" t="s">
        <v>244</v>
      </c>
      <c r="U438" s="8"/>
      <c r="V438" s="8"/>
      <c r="W438" s="8" t="s">
        <v>2966</v>
      </c>
      <c r="X438" s="8" t="s">
        <v>3011</v>
      </c>
    </row>
    <row r="439" spans="1:24" ht="11.25">
      <c r="A439" s="5" t="s">
        <v>245</v>
      </c>
      <c r="B439" s="5" t="s">
        <v>246</v>
      </c>
      <c r="C439" s="6" t="s">
        <v>247</v>
      </c>
      <c r="D439" s="6"/>
      <c r="E439" s="6"/>
      <c r="F439" s="5" t="s">
        <v>1500</v>
      </c>
      <c r="G439" s="5"/>
      <c r="H439" s="6" t="s">
        <v>235</v>
      </c>
      <c r="I439" s="5">
        <v>495</v>
      </c>
      <c r="J439" s="5">
        <v>1624</v>
      </c>
      <c r="K439" s="7" t="str">
        <f>HYPERLINK("http://www.centcols.org/util/geo/visuGen.php?code=US-TN-0495b","US-TN-0495b")</f>
        <v>US-TN-0495b</v>
      </c>
      <c r="L439" s="8" t="s">
        <v>248</v>
      </c>
      <c r="M439" s="8" t="s">
        <v>249</v>
      </c>
      <c r="N439" s="8">
        <v>0</v>
      </c>
      <c r="O439" s="8">
        <v>0</v>
      </c>
      <c r="P439" s="8"/>
      <c r="Q439" s="5">
        <v>-82.704189</v>
      </c>
      <c r="R439" s="5">
        <v>36.2376541</v>
      </c>
      <c r="S439" s="5" t="s">
        <v>250</v>
      </c>
      <c r="T439" s="5" t="s">
        <v>251</v>
      </c>
      <c r="U439" s="8"/>
      <c r="V439" s="8"/>
      <c r="W439" s="8" t="s">
        <v>2966</v>
      </c>
      <c r="X439" s="8" t="s">
        <v>2991</v>
      </c>
    </row>
    <row r="440" spans="1:24" ht="11.25">
      <c r="A440" s="5" t="s">
        <v>252</v>
      </c>
      <c r="B440" s="5" t="s">
        <v>253</v>
      </c>
      <c r="C440" s="6" t="s">
        <v>254</v>
      </c>
      <c r="D440" s="6"/>
      <c r="E440" s="6"/>
      <c r="F440" s="5" t="s">
        <v>1500</v>
      </c>
      <c r="G440" s="5"/>
      <c r="H440" s="6" t="s">
        <v>255</v>
      </c>
      <c r="I440" s="5">
        <v>499</v>
      </c>
      <c r="J440" s="5">
        <v>1637</v>
      </c>
      <c r="K440" s="7" t="str">
        <f>HYPERLINK("http://www.centcols.org/util/geo/visuGen.php?code=US-TN-0499","US-TN-0499")</f>
        <v>US-TN-0499</v>
      </c>
      <c r="L440" s="8" t="s">
        <v>256</v>
      </c>
      <c r="M440" s="9"/>
      <c r="N440" s="8">
        <v>0</v>
      </c>
      <c r="O440" s="8">
        <v>0</v>
      </c>
      <c r="P440" s="8"/>
      <c r="Q440" s="5">
        <v>-82.9701592</v>
      </c>
      <c r="R440" s="5">
        <v>35.8965811</v>
      </c>
      <c r="S440" s="5" t="s">
        <v>257</v>
      </c>
      <c r="T440" s="5" t="s">
        <v>258</v>
      </c>
      <c r="U440" s="8"/>
      <c r="V440" s="8"/>
      <c r="W440" s="8" t="s">
        <v>2966</v>
      </c>
      <c r="X440" s="8" t="s">
        <v>3011</v>
      </c>
    </row>
    <row r="441" spans="1:24" ht="11.25">
      <c r="A441" s="5" t="s">
        <v>259</v>
      </c>
      <c r="B441" s="5" t="s">
        <v>260</v>
      </c>
      <c r="C441" s="6" t="s">
        <v>261</v>
      </c>
      <c r="D441" s="6"/>
      <c r="E441" s="6"/>
      <c r="F441" s="5" t="s">
        <v>1500</v>
      </c>
      <c r="G441" s="5"/>
      <c r="H441" s="6" t="s">
        <v>173</v>
      </c>
      <c r="I441" s="5">
        <v>611</v>
      </c>
      <c r="J441" s="5">
        <v>2005</v>
      </c>
      <c r="K441" s="7" t="str">
        <f>HYPERLINK("http://www.centcols.org/util/geo/visuGen.php?code=US-TN-0611b","US-TN-0611b")</f>
        <v>US-TN-0611b</v>
      </c>
      <c r="L441" s="8" t="s">
        <v>262</v>
      </c>
      <c r="M441" s="8"/>
      <c r="N441" s="8">
        <v>0</v>
      </c>
      <c r="O441" s="8">
        <v>0</v>
      </c>
      <c r="P441" s="8"/>
      <c r="Q441" s="5">
        <v>-83.397222</v>
      </c>
      <c r="R441" s="5">
        <v>36.350833</v>
      </c>
      <c r="S441" s="5" t="s">
        <v>263</v>
      </c>
      <c r="T441" s="5" t="s">
        <v>264</v>
      </c>
      <c r="U441" s="8"/>
      <c r="V441" s="8"/>
      <c r="W441" s="8" t="s">
        <v>2966</v>
      </c>
      <c r="X441" s="8" t="s">
        <v>3011</v>
      </c>
    </row>
    <row r="442" spans="1:24" ht="11.25">
      <c r="A442" s="5" t="s">
        <v>265</v>
      </c>
      <c r="B442" s="5" t="s">
        <v>266</v>
      </c>
      <c r="C442" s="6" t="s">
        <v>267</v>
      </c>
      <c r="D442" s="6"/>
      <c r="E442" s="6"/>
      <c r="F442" s="5" t="s">
        <v>1500</v>
      </c>
      <c r="G442" s="5"/>
      <c r="H442" s="6" t="s">
        <v>268</v>
      </c>
      <c r="I442" s="5">
        <v>665</v>
      </c>
      <c r="J442" s="5">
        <v>2182</v>
      </c>
      <c r="K442" s="7" t="str">
        <f>HYPERLINK("http://www.centcols.org/util/geo/visuGen.php?code=US-TN-0665","US-TN-0665")</f>
        <v>US-TN-0665</v>
      </c>
      <c r="L442" s="8" t="s">
        <v>269</v>
      </c>
      <c r="M442" s="8"/>
      <c r="N442" s="8">
        <v>0</v>
      </c>
      <c r="O442" s="8">
        <v>0</v>
      </c>
      <c r="P442" s="8"/>
      <c r="Q442" s="5">
        <v>-85.02665</v>
      </c>
      <c r="R442" s="5">
        <v>35.69986</v>
      </c>
      <c r="S442" s="5" t="s">
        <v>270</v>
      </c>
      <c r="T442" s="5" t="s">
        <v>271</v>
      </c>
      <c r="U442" s="8"/>
      <c r="V442" s="8"/>
      <c r="W442" s="8" t="s">
        <v>2966</v>
      </c>
      <c r="X442" s="8" t="s">
        <v>3011</v>
      </c>
    </row>
    <row r="443" spans="1:24" ht="11.25">
      <c r="A443" s="5" t="s">
        <v>272</v>
      </c>
      <c r="B443" s="5" t="s">
        <v>273</v>
      </c>
      <c r="C443" s="6" t="s">
        <v>274</v>
      </c>
      <c r="D443" s="6"/>
      <c r="E443" s="6"/>
      <c r="F443" s="5" t="s">
        <v>1500</v>
      </c>
      <c r="G443" s="5"/>
      <c r="H443" s="6" t="s">
        <v>275</v>
      </c>
      <c r="I443" s="5">
        <v>997</v>
      </c>
      <c r="J443" s="5">
        <v>3271</v>
      </c>
      <c r="K443" s="7" t="str">
        <f>HYPERLINK("http://www.centcols.org/util/geo/visuGen.php?code=US-TN-0997","US-TN-0997")</f>
        <v>US-TN-0997</v>
      </c>
      <c r="L443" s="8" t="s">
        <v>275</v>
      </c>
      <c r="M443" s="9"/>
      <c r="N443" s="8">
        <v>20</v>
      </c>
      <c r="O443" s="8">
        <v>99</v>
      </c>
      <c r="P443" s="8"/>
      <c r="Q443" s="5">
        <v>-82.3424988</v>
      </c>
      <c r="R443" s="5">
        <v>36.1477805</v>
      </c>
      <c r="S443" s="5" t="s">
        <v>276</v>
      </c>
      <c r="T443" s="5" t="s">
        <v>277</v>
      </c>
      <c r="U443" s="8"/>
      <c r="V443" s="8"/>
      <c r="W443" s="8" t="s">
        <v>2966</v>
      </c>
      <c r="X443" s="8" t="s">
        <v>3011</v>
      </c>
    </row>
    <row r="444" spans="1:24" ht="11.25">
      <c r="A444" s="5" t="s">
        <v>278</v>
      </c>
      <c r="B444" s="5" t="s">
        <v>279</v>
      </c>
      <c r="C444" s="6" t="s">
        <v>280</v>
      </c>
      <c r="D444" s="6"/>
      <c r="E444" s="6"/>
      <c r="F444" s="5" t="s">
        <v>1500</v>
      </c>
      <c r="G444" s="5"/>
      <c r="H444" s="6" t="s">
        <v>228</v>
      </c>
      <c r="I444" s="5">
        <v>1077</v>
      </c>
      <c r="J444" s="5">
        <v>3533</v>
      </c>
      <c r="K444" s="7" t="str">
        <f>HYPERLINK("http://www.centcols.org/util/geo/visuGen.php?code=US-TN-1077","US-TN-1077")</f>
        <v>US-TN-1077</v>
      </c>
      <c r="L444" s="8" t="s">
        <v>281</v>
      </c>
      <c r="M444" s="8"/>
      <c r="N444" s="8">
        <v>15</v>
      </c>
      <c r="O444" s="8">
        <v>99</v>
      </c>
      <c r="P444" s="8"/>
      <c r="Q444" s="5">
        <v>-81.931667</v>
      </c>
      <c r="R444" s="5">
        <v>36.557778</v>
      </c>
      <c r="S444" s="5" t="s">
        <v>282</v>
      </c>
      <c r="T444" s="5" t="s">
        <v>283</v>
      </c>
      <c r="U444" s="8"/>
      <c r="V444" s="8"/>
      <c r="W444" s="8" t="s">
        <v>2966</v>
      </c>
      <c r="X444" s="8" t="s">
        <v>3011</v>
      </c>
    </row>
    <row r="445" spans="1:24" ht="11.25">
      <c r="A445" s="5" t="s">
        <v>284</v>
      </c>
      <c r="B445" s="5" t="s">
        <v>285</v>
      </c>
      <c r="C445" s="6" t="s">
        <v>286</v>
      </c>
      <c r="D445" s="6"/>
      <c r="E445" s="6"/>
      <c r="F445" s="5" t="s">
        <v>1500</v>
      </c>
      <c r="G445" s="5"/>
      <c r="H445" s="6" t="s">
        <v>287</v>
      </c>
      <c r="I445" s="5">
        <v>1100</v>
      </c>
      <c r="J445" s="5">
        <v>3609</v>
      </c>
      <c r="K445" s="7" t="str">
        <f>HYPERLINK("http://www.centcols.org/util/geo/visuGen.php?code=US-TN-1100","US-TN-1100")</f>
        <v>US-TN-1100</v>
      </c>
      <c r="L445" s="8" t="s">
        <v>288</v>
      </c>
      <c r="M445" s="9" t="s">
        <v>289</v>
      </c>
      <c r="N445" s="8">
        <v>0</v>
      </c>
      <c r="O445" s="8">
        <v>0</v>
      </c>
      <c r="P445" s="8"/>
      <c r="Q445" s="5">
        <v>-84.0939368</v>
      </c>
      <c r="R445" s="5">
        <v>35.3568672</v>
      </c>
      <c r="S445" s="5" t="s">
        <v>290</v>
      </c>
      <c r="T445" s="5" t="s">
        <v>291</v>
      </c>
      <c r="U445" s="8"/>
      <c r="V445" s="8"/>
      <c r="W445" s="8" t="s">
        <v>2966</v>
      </c>
      <c r="X445" s="8" t="s">
        <v>292</v>
      </c>
    </row>
    <row r="446" spans="1:24" ht="11.25">
      <c r="A446" s="5" t="s">
        <v>293</v>
      </c>
      <c r="B446" s="5" t="s">
        <v>294</v>
      </c>
      <c r="C446" s="6" t="s">
        <v>295</v>
      </c>
      <c r="D446" s="6"/>
      <c r="E446" s="6"/>
      <c r="F446" s="5" t="s">
        <v>296</v>
      </c>
      <c r="G446" s="5"/>
      <c r="H446" s="6" t="s">
        <v>297</v>
      </c>
      <c r="I446" s="5">
        <v>405</v>
      </c>
      <c r="J446" s="5">
        <v>1329</v>
      </c>
      <c r="K446" s="7" t="str">
        <f>HYPERLINK("http://www.centcols.org/util/geo/visuGen.php?code=US-TX-0405","US-TX-0405")</f>
        <v>US-TX-0405</v>
      </c>
      <c r="L446" s="8" t="s">
        <v>298</v>
      </c>
      <c r="M446" s="8" t="s">
        <v>2988</v>
      </c>
      <c r="N446" s="8">
        <v>10</v>
      </c>
      <c r="O446" s="8">
        <v>35</v>
      </c>
      <c r="P446" s="8"/>
      <c r="Q446" s="5">
        <v>-98.4296879</v>
      </c>
      <c r="R446" s="5">
        <v>31.0868021</v>
      </c>
      <c r="S446" s="5" t="s">
        <v>299</v>
      </c>
      <c r="T446" s="5" t="s">
        <v>300</v>
      </c>
      <c r="U446" s="8"/>
      <c r="V446" s="8"/>
      <c r="W446" s="8" t="s">
        <v>2966</v>
      </c>
      <c r="X446" s="8" t="s">
        <v>301</v>
      </c>
    </row>
    <row r="447" spans="1:24" ht="11.25">
      <c r="A447" s="5" t="s">
        <v>302</v>
      </c>
      <c r="B447" s="5" t="s">
        <v>303</v>
      </c>
      <c r="C447" s="6" t="s">
        <v>3134</v>
      </c>
      <c r="D447" s="6"/>
      <c r="E447" s="6"/>
      <c r="F447" s="5" t="s">
        <v>296</v>
      </c>
      <c r="G447" s="5"/>
      <c r="H447" s="6" t="s">
        <v>96</v>
      </c>
      <c r="I447" s="5">
        <v>458</v>
      </c>
      <c r="J447" s="5">
        <v>1503</v>
      </c>
      <c r="K447" s="7" t="str">
        <f>HYPERLINK("http://www.centcols.org/util/geo/visuGen.php?code=US-TX-0458","US-TX-0458")</f>
        <v>US-TX-0458</v>
      </c>
      <c r="L447" s="8" t="s">
        <v>304</v>
      </c>
      <c r="M447" s="8" t="s">
        <v>305</v>
      </c>
      <c r="N447" s="8">
        <v>0</v>
      </c>
      <c r="O447" s="8">
        <v>0</v>
      </c>
      <c r="P447" s="8"/>
      <c r="Q447" s="5">
        <v>-99.7238579</v>
      </c>
      <c r="R447" s="5">
        <v>33.589882</v>
      </c>
      <c r="S447" s="5" t="s">
        <v>306</v>
      </c>
      <c r="T447" s="5" t="s">
        <v>307</v>
      </c>
      <c r="U447" s="8"/>
      <c r="V447" s="8"/>
      <c r="W447" s="8" t="s">
        <v>2966</v>
      </c>
      <c r="X447" s="8" t="s">
        <v>308</v>
      </c>
    </row>
    <row r="448" spans="1:24" ht="11.25">
      <c r="A448" s="5" t="s">
        <v>309</v>
      </c>
      <c r="B448" s="5" t="s">
        <v>310</v>
      </c>
      <c r="C448" s="6" t="s">
        <v>311</v>
      </c>
      <c r="D448" s="6"/>
      <c r="E448" s="6"/>
      <c r="F448" s="5" t="s">
        <v>296</v>
      </c>
      <c r="G448" s="5"/>
      <c r="H448" s="6" t="s">
        <v>312</v>
      </c>
      <c r="I448" s="5">
        <v>515</v>
      </c>
      <c r="J448" s="5">
        <v>1690</v>
      </c>
      <c r="K448" s="7" t="str">
        <f>HYPERLINK("http://www.centcols.org/util/geo/visuGen.php?code=US-TX-0515","US-TX-0515")</f>
        <v>US-TX-0515</v>
      </c>
      <c r="L448" s="8" t="s">
        <v>313</v>
      </c>
      <c r="M448" s="9"/>
      <c r="N448" s="8">
        <v>0</v>
      </c>
      <c r="O448" s="8">
        <v>0</v>
      </c>
      <c r="P448" s="8"/>
      <c r="Q448" s="5">
        <v>-98.7039994</v>
      </c>
      <c r="R448" s="5">
        <v>31.7098102</v>
      </c>
      <c r="S448" s="5" t="s">
        <v>314</v>
      </c>
      <c r="T448" s="5" t="s">
        <v>315</v>
      </c>
      <c r="U448" s="8"/>
      <c r="V448" s="8"/>
      <c r="W448" s="8" t="s">
        <v>2966</v>
      </c>
      <c r="X448" s="8" t="s">
        <v>3011</v>
      </c>
    </row>
    <row r="449" spans="1:24" ht="11.25">
      <c r="A449" s="5" t="s">
        <v>316</v>
      </c>
      <c r="B449" s="5" t="s">
        <v>317</v>
      </c>
      <c r="C449" s="6" t="s">
        <v>318</v>
      </c>
      <c r="D449" s="6"/>
      <c r="E449" s="6"/>
      <c r="F449" s="5" t="s">
        <v>296</v>
      </c>
      <c r="G449" s="5"/>
      <c r="H449" s="6" t="s">
        <v>2364</v>
      </c>
      <c r="I449" s="5">
        <v>639</v>
      </c>
      <c r="J449" s="5">
        <v>2096</v>
      </c>
      <c r="K449" s="7" t="str">
        <f>HYPERLINK("http://www.centcols.org/util/geo/visuGen.php?code=US-TX-0639","US-TX-0639")</f>
        <v>US-TX-0639</v>
      </c>
      <c r="L449" s="8" t="s">
        <v>319</v>
      </c>
      <c r="M449" s="9" t="s">
        <v>320</v>
      </c>
      <c r="N449" s="8">
        <v>0</v>
      </c>
      <c r="O449" s="8">
        <v>0</v>
      </c>
      <c r="P449" s="8"/>
      <c r="Q449" s="5">
        <v>-102.981808</v>
      </c>
      <c r="R449" s="5">
        <v>29.201922</v>
      </c>
      <c r="S449" s="5" t="s">
        <v>321</v>
      </c>
      <c r="T449" s="5" t="s">
        <v>322</v>
      </c>
      <c r="U449" s="8"/>
      <c r="V449" s="8" t="s">
        <v>323</v>
      </c>
      <c r="W449" s="8" t="s">
        <v>2966</v>
      </c>
      <c r="X449" s="8" t="s">
        <v>2967</v>
      </c>
    </row>
    <row r="450" spans="1:24" ht="11.25">
      <c r="A450" s="5" t="s">
        <v>324</v>
      </c>
      <c r="B450" s="5" t="s">
        <v>325</v>
      </c>
      <c r="C450" s="6" t="s">
        <v>326</v>
      </c>
      <c r="D450" s="6"/>
      <c r="E450" s="6" t="s">
        <v>327</v>
      </c>
      <c r="F450" s="5" t="s">
        <v>296</v>
      </c>
      <c r="G450" s="5"/>
      <c r="H450" s="6" t="s">
        <v>2364</v>
      </c>
      <c r="I450" s="5">
        <v>795</v>
      </c>
      <c r="J450" s="5">
        <v>2608</v>
      </c>
      <c r="K450" s="7" t="str">
        <f>HYPERLINK("http://www.centcols.org/util/geo/visuGen.php?code=US-TX-0795","US-TX-0795")</f>
        <v>US-TX-0795</v>
      </c>
      <c r="L450" s="8" t="s">
        <v>328</v>
      </c>
      <c r="M450" s="8" t="s">
        <v>3222</v>
      </c>
      <c r="N450" s="8">
        <v>15</v>
      </c>
      <c r="O450" s="8">
        <v>99</v>
      </c>
      <c r="P450" s="8" t="s">
        <v>3338</v>
      </c>
      <c r="Q450" s="5">
        <v>-103.111665</v>
      </c>
      <c r="R450" s="5">
        <v>29.6238912</v>
      </c>
      <c r="S450" s="5" t="s">
        <v>329</v>
      </c>
      <c r="T450" s="5" t="s">
        <v>330</v>
      </c>
      <c r="U450" s="8"/>
      <c r="V450" s="8" t="s">
        <v>331</v>
      </c>
      <c r="W450" s="8" t="s">
        <v>2966</v>
      </c>
      <c r="X450" s="8" t="s">
        <v>332</v>
      </c>
    </row>
    <row r="451" spans="1:24" ht="11.25">
      <c r="A451" s="5" t="s">
        <v>333</v>
      </c>
      <c r="B451" s="5" t="s">
        <v>334</v>
      </c>
      <c r="C451" s="6" t="s">
        <v>1769</v>
      </c>
      <c r="D451" s="6"/>
      <c r="E451" s="6"/>
      <c r="F451" s="5" t="s">
        <v>296</v>
      </c>
      <c r="G451" s="5"/>
      <c r="H451" s="6" t="s">
        <v>335</v>
      </c>
      <c r="I451" s="5">
        <v>1093</v>
      </c>
      <c r="J451" s="5">
        <v>3586</v>
      </c>
      <c r="K451" s="7" t="str">
        <f>HYPERLINK("http://www.centcols.org/util/geo/visuGen.php?code=US-TX-1093","US-TX-1093")</f>
        <v>US-TX-1093</v>
      </c>
      <c r="L451" s="8" t="s">
        <v>336</v>
      </c>
      <c r="M451" s="8" t="s">
        <v>2988</v>
      </c>
      <c r="N451" s="8">
        <v>10</v>
      </c>
      <c r="O451" s="8">
        <v>35</v>
      </c>
      <c r="P451" s="8"/>
      <c r="Q451" s="5">
        <v>-105.469636</v>
      </c>
      <c r="R451" s="5">
        <v>30.9560371</v>
      </c>
      <c r="S451" s="5" t="s">
        <v>337</v>
      </c>
      <c r="T451" s="5" t="s">
        <v>338</v>
      </c>
      <c r="U451" s="8"/>
      <c r="V451" s="8"/>
      <c r="W451" s="8" t="s">
        <v>2966</v>
      </c>
      <c r="X451" s="8" t="s">
        <v>2991</v>
      </c>
    </row>
    <row r="452" spans="1:24" ht="11.25">
      <c r="A452" s="5" t="s">
        <v>339</v>
      </c>
      <c r="B452" s="5" t="s">
        <v>340</v>
      </c>
      <c r="C452" s="6" t="s">
        <v>341</v>
      </c>
      <c r="D452" s="6"/>
      <c r="E452" s="6"/>
      <c r="F452" s="5" t="s">
        <v>342</v>
      </c>
      <c r="G452" s="5"/>
      <c r="H452" s="6" t="s">
        <v>343</v>
      </c>
      <c r="I452" s="5">
        <v>1373</v>
      </c>
      <c r="J452" s="5">
        <v>4505</v>
      </c>
      <c r="K452" s="7" t="str">
        <f>HYPERLINK("http://www.centcols.org/util/geo/visuGen.php?code=US-UT-1373","US-UT-1373")</f>
        <v>US-UT-1373</v>
      </c>
      <c r="L452" s="8" t="s">
        <v>344</v>
      </c>
      <c r="M452" s="9" t="s">
        <v>345</v>
      </c>
      <c r="N452" s="8">
        <v>0</v>
      </c>
      <c r="O452" s="8">
        <v>0</v>
      </c>
      <c r="P452" s="8"/>
      <c r="Q452" s="5">
        <v>-112.8599979</v>
      </c>
      <c r="R452" s="5">
        <v>39.9283811</v>
      </c>
      <c r="S452" s="5" t="s">
        <v>346</v>
      </c>
      <c r="T452" s="5" t="s">
        <v>347</v>
      </c>
      <c r="U452" s="8"/>
      <c r="V452" s="8"/>
      <c r="W452" s="8" t="s">
        <v>2966</v>
      </c>
      <c r="X452" s="8" t="s">
        <v>2991</v>
      </c>
    </row>
    <row r="453" spans="1:24" ht="11.25">
      <c r="A453" s="5" t="s">
        <v>348</v>
      </c>
      <c r="B453" s="5" t="s">
        <v>349</v>
      </c>
      <c r="C453" s="6" t="s">
        <v>350</v>
      </c>
      <c r="D453" s="6"/>
      <c r="E453" s="6"/>
      <c r="F453" s="5" t="s">
        <v>342</v>
      </c>
      <c r="G453" s="5"/>
      <c r="H453" s="6" t="s">
        <v>351</v>
      </c>
      <c r="I453" s="5">
        <v>1600</v>
      </c>
      <c r="J453" s="5">
        <v>5249</v>
      </c>
      <c r="K453" s="7" t="str">
        <f>HYPERLINK("http://www.centcols.org/util/geo/visuGen.php?code=US-UT-1600","US-UT-1600")</f>
        <v>US-UT-1600</v>
      </c>
      <c r="L453" s="8" t="s">
        <v>352</v>
      </c>
      <c r="M453" s="9" t="s">
        <v>353</v>
      </c>
      <c r="N453" s="8">
        <v>0</v>
      </c>
      <c r="O453" s="8">
        <v>0</v>
      </c>
      <c r="P453" s="8"/>
      <c r="Q453" s="5">
        <v>-112.5935979</v>
      </c>
      <c r="R453" s="5">
        <v>41.699122</v>
      </c>
      <c r="S453" s="5" t="s">
        <v>354</v>
      </c>
      <c r="T453" s="5" t="s">
        <v>355</v>
      </c>
      <c r="U453" s="8"/>
      <c r="V453" s="8"/>
      <c r="W453" s="8" t="s">
        <v>2966</v>
      </c>
      <c r="X453" s="8" t="s">
        <v>2548</v>
      </c>
    </row>
    <row r="454" spans="1:24" ht="11.25">
      <c r="A454" s="5" t="s">
        <v>356</v>
      </c>
      <c r="B454" s="5" t="s">
        <v>357</v>
      </c>
      <c r="C454" s="6" t="s">
        <v>3134</v>
      </c>
      <c r="D454" s="6"/>
      <c r="E454" s="6"/>
      <c r="F454" s="5" t="s">
        <v>342</v>
      </c>
      <c r="G454" s="5"/>
      <c r="H454" s="6" t="s">
        <v>358</v>
      </c>
      <c r="I454" s="5">
        <v>1617</v>
      </c>
      <c r="J454" s="5">
        <v>5305</v>
      </c>
      <c r="K454" s="7" t="str">
        <f>HYPERLINK("http://www.centcols.org/util/geo/visuGen.php?code=US-UT-1617","US-UT-1617")</f>
        <v>US-UT-1617</v>
      </c>
      <c r="L454" s="8" t="s">
        <v>359</v>
      </c>
      <c r="M454" s="8" t="s">
        <v>2962</v>
      </c>
      <c r="N454" s="8">
        <v>20</v>
      </c>
      <c r="O454" s="8">
        <v>99</v>
      </c>
      <c r="P454" s="8" t="s">
        <v>3338</v>
      </c>
      <c r="Q454" s="5">
        <v>-111.2011339</v>
      </c>
      <c r="R454" s="5">
        <v>38.2737111</v>
      </c>
      <c r="S454" s="5" t="s">
        <v>360</v>
      </c>
      <c r="T454" s="5" t="s">
        <v>361</v>
      </c>
      <c r="U454" s="8"/>
      <c r="V454" s="8" t="s">
        <v>362</v>
      </c>
      <c r="W454" s="8" t="s">
        <v>2966</v>
      </c>
      <c r="X454" s="8" t="s">
        <v>2991</v>
      </c>
    </row>
    <row r="455" spans="1:24" ht="11.25">
      <c r="A455" s="5" t="s">
        <v>363</v>
      </c>
      <c r="B455" s="5" t="s">
        <v>364</v>
      </c>
      <c r="C455" s="6" t="s">
        <v>365</v>
      </c>
      <c r="D455" s="6"/>
      <c r="E455" s="6"/>
      <c r="F455" s="5" t="s">
        <v>342</v>
      </c>
      <c r="G455" s="5"/>
      <c r="H455" s="6" t="s">
        <v>520</v>
      </c>
      <c r="I455" s="5">
        <v>1633</v>
      </c>
      <c r="J455" s="5">
        <v>5358</v>
      </c>
      <c r="K455" s="7" t="str">
        <f>HYPERLINK("http://www.centcols.org/util/geo/visuGen.php?code=US-UT-1633","US-UT-1633")</f>
        <v>US-UT-1633</v>
      </c>
      <c r="L455" s="8" t="s">
        <v>366</v>
      </c>
      <c r="M455" s="8" t="s">
        <v>2962</v>
      </c>
      <c r="N455" s="8">
        <v>20</v>
      </c>
      <c r="O455" s="8">
        <v>99</v>
      </c>
      <c r="P455" s="8" t="s">
        <v>3338</v>
      </c>
      <c r="Q455" s="5">
        <v>-109.920007</v>
      </c>
      <c r="R455" s="5">
        <v>38.4471171</v>
      </c>
      <c r="S455" s="5" t="s">
        <v>367</v>
      </c>
      <c r="T455" s="5" t="s">
        <v>368</v>
      </c>
      <c r="U455" s="8"/>
      <c r="V455" s="8" t="s">
        <v>369</v>
      </c>
      <c r="W455" s="8" t="s">
        <v>2966</v>
      </c>
      <c r="X455" s="8" t="s">
        <v>2386</v>
      </c>
    </row>
    <row r="456" spans="1:24" ht="11.25">
      <c r="A456" s="5" t="s">
        <v>370</v>
      </c>
      <c r="B456" s="5" t="s">
        <v>371</v>
      </c>
      <c r="C456" s="6" t="s">
        <v>372</v>
      </c>
      <c r="D456" s="6"/>
      <c r="E456" s="6"/>
      <c r="F456" s="5" t="s">
        <v>342</v>
      </c>
      <c r="G456" s="5"/>
      <c r="H456" s="6" t="s">
        <v>373</v>
      </c>
      <c r="I456" s="5">
        <v>1673</v>
      </c>
      <c r="J456" s="5">
        <v>5489</v>
      </c>
      <c r="K456" s="7" t="str">
        <f>HYPERLINK("http://www.centcols.org/util/geo/visuGen.php?code=US-UT-1673","US-UT-1673")</f>
        <v>US-UT-1673</v>
      </c>
      <c r="L456" s="8" t="s">
        <v>374</v>
      </c>
      <c r="M456" s="8" t="s">
        <v>2988</v>
      </c>
      <c r="N456" s="8">
        <v>10</v>
      </c>
      <c r="O456" s="8">
        <v>35</v>
      </c>
      <c r="P456" s="8"/>
      <c r="Q456" s="5">
        <v>-111.8328989</v>
      </c>
      <c r="R456" s="5">
        <v>38.962122</v>
      </c>
      <c r="S456" s="5" t="s">
        <v>375</v>
      </c>
      <c r="T456" s="5" t="s">
        <v>376</v>
      </c>
      <c r="U456" s="8"/>
      <c r="V456" s="8"/>
      <c r="W456" s="8" t="s">
        <v>2966</v>
      </c>
      <c r="X456" s="8" t="s">
        <v>2991</v>
      </c>
    </row>
    <row r="457" spans="1:24" ht="11.25">
      <c r="A457" s="5" t="s">
        <v>377</v>
      </c>
      <c r="B457" s="5" t="s">
        <v>378</v>
      </c>
      <c r="C457" s="6" t="s">
        <v>3134</v>
      </c>
      <c r="D457" s="6"/>
      <c r="E457" s="6"/>
      <c r="F457" s="5" t="s">
        <v>342</v>
      </c>
      <c r="G457" s="5"/>
      <c r="H457" s="6" t="s">
        <v>379</v>
      </c>
      <c r="I457" s="5">
        <v>1698</v>
      </c>
      <c r="J457" s="5">
        <v>5571</v>
      </c>
      <c r="K457" s="7" t="str">
        <f>HYPERLINK("http://www.centcols.org/util/geo/visuGen.php?code=US-UT-1698","US-UT-1698")</f>
        <v>US-UT-1698</v>
      </c>
      <c r="L457" s="8" t="s">
        <v>380</v>
      </c>
      <c r="M457" s="9" t="s">
        <v>381</v>
      </c>
      <c r="N457" s="8">
        <v>0</v>
      </c>
      <c r="O457" s="8">
        <v>0</v>
      </c>
      <c r="P457" s="8"/>
      <c r="Q457" s="5">
        <v>-112.9857779</v>
      </c>
      <c r="R457" s="5">
        <v>37.9096821</v>
      </c>
      <c r="S457" s="5" t="s">
        <v>382</v>
      </c>
      <c r="T457" s="5" t="s">
        <v>383</v>
      </c>
      <c r="U457" s="8"/>
      <c r="V457" s="8"/>
      <c r="W457" s="8" t="s">
        <v>2966</v>
      </c>
      <c r="X457" s="8" t="s">
        <v>2991</v>
      </c>
    </row>
    <row r="458" spans="1:24" ht="11.25">
      <c r="A458" s="5" t="s">
        <v>384</v>
      </c>
      <c r="B458" s="5" t="s">
        <v>385</v>
      </c>
      <c r="C458" s="6" t="s">
        <v>386</v>
      </c>
      <c r="D458" s="6"/>
      <c r="E458" s="6"/>
      <c r="F458" s="5" t="s">
        <v>342</v>
      </c>
      <c r="G458" s="5"/>
      <c r="H458" s="6" t="s">
        <v>379</v>
      </c>
      <c r="I458" s="5">
        <v>1704</v>
      </c>
      <c r="J458" s="5">
        <v>5590</v>
      </c>
      <c r="K458" s="7" t="str">
        <f>HYPERLINK("http://www.centcols.org/util/geo/visuGen.php?code=US-UT-1704","US-UT-1704")</f>
        <v>US-UT-1704</v>
      </c>
      <c r="L458" s="8" t="s">
        <v>380</v>
      </c>
      <c r="M458" s="8" t="s">
        <v>2962</v>
      </c>
      <c r="N458" s="8">
        <v>20</v>
      </c>
      <c r="O458" s="8">
        <v>99</v>
      </c>
      <c r="P458" s="8"/>
      <c r="Q458" s="5">
        <v>-112.9922199</v>
      </c>
      <c r="R458" s="5">
        <v>37.895557</v>
      </c>
      <c r="S458" s="5" t="s">
        <v>387</v>
      </c>
      <c r="T458" s="5" t="s">
        <v>388</v>
      </c>
      <c r="U458" s="8"/>
      <c r="V458" s="8"/>
      <c r="W458" s="8" t="s">
        <v>2966</v>
      </c>
      <c r="X458" s="8" t="s">
        <v>2991</v>
      </c>
    </row>
    <row r="459" spans="1:24" ht="11.25">
      <c r="A459" s="5" t="s">
        <v>389</v>
      </c>
      <c r="B459" s="5" t="s">
        <v>390</v>
      </c>
      <c r="C459" s="6" t="s">
        <v>391</v>
      </c>
      <c r="D459" s="6"/>
      <c r="E459" s="6"/>
      <c r="F459" s="5" t="s">
        <v>342</v>
      </c>
      <c r="G459" s="5"/>
      <c r="H459" s="6" t="s">
        <v>1915</v>
      </c>
      <c r="I459" s="5">
        <v>1748</v>
      </c>
      <c r="J459" s="5">
        <v>5735</v>
      </c>
      <c r="K459" s="7" t="str">
        <f>HYPERLINK("http://www.centcols.org/util/geo/visuGen.php?code=US-UT-1748","US-UT-1748")</f>
        <v>US-UT-1748</v>
      </c>
      <c r="L459" s="8" t="s">
        <v>392</v>
      </c>
      <c r="M459" s="8" t="s">
        <v>2962</v>
      </c>
      <c r="N459" s="8">
        <v>20</v>
      </c>
      <c r="O459" s="8">
        <v>99</v>
      </c>
      <c r="P459" s="8" t="s">
        <v>3338</v>
      </c>
      <c r="Q459" s="5">
        <v>-112.9484179</v>
      </c>
      <c r="R459" s="5">
        <v>37.2539621</v>
      </c>
      <c r="S459" s="5" t="s">
        <v>393</v>
      </c>
      <c r="T459" s="5" t="s">
        <v>2582</v>
      </c>
      <c r="U459" s="8"/>
      <c r="V459" s="8" t="s">
        <v>2583</v>
      </c>
      <c r="W459" s="8" t="s">
        <v>2966</v>
      </c>
      <c r="X459" s="8" t="s">
        <v>2967</v>
      </c>
    </row>
    <row r="460" spans="1:24" ht="11.25">
      <c r="A460" s="5" t="s">
        <v>2584</v>
      </c>
      <c r="B460" s="5" t="s">
        <v>2585</v>
      </c>
      <c r="C460" s="6" t="s">
        <v>2586</v>
      </c>
      <c r="D460" s="6"/>
      <c r="E460" s="6"/>
      <c r="F460" s="5" t="s">
        <v>342</v>
      </c>
      <c r="G460" s="5"/>
      <c r="H460" s="6" t="s">
        <v>2587</v>
      </c>
      <c r="I460" s="5">
        <v>1818</v>
      </c>
      <c r="J460" s="5">
        <v>5964</v>
      </c>
      <c r="K460" s="7" t="str">
        <f>HYPERLINK("http://www.centcols.org/util/geo/visuGen.php?code=US-UT-1818","US-UT-1818")</f>
        <v>US-UT-1818</v>
      </c>
      <c r="L460" s="8" t="s">
        <v>2588</v>
      </c>
      <c r="M460" s="8" t="s">
        <v>2988</v>
      </c>
      <c r="N460" s="8">
        <v>10</v>
      </c>
      <c r="O460" s="8">
        <v>35</v>
      </c>
      <c r="P460" s="8"/>
      <c r="Q460" s="5">
        <v>-113.7244579</v>
      </c>
      <c r="R460" s="5">
        <v>39.404172</v>
      </c>
      <c r="S460" s="5" t="s">
        <v>2589</v>
      </c>
      <c r="T460" s="5" t="s">
        <v>2590</v>
      </c>
      <c r="U460" s="8"/>
      <c r="V460" s="8"/>
      <c r="W460" s="8" t="s">
        <v>2966</v>
      </c>
      <c r="X460" s="8" t="s">
        <v>2991</v>
      </c>
    </row>
    <row r="461" spans="1:24" ht="11.25">
      <c r="A461" s="5" t="s">
        <v>2591</v>
      </c>
      <c r="B461" s="5" t="s">
        <v>2592</v>
      </c>
      <c r="C461" s="6" t="s">
        <v>2593</v>
      </c>
      <c r="D461" s="6"/>
      <c r="E461" s="6"/>
      <c r="F461" s="5" t="s">
        <v>342</v>
      </c>
      <c r="G461" s="5"/>
      <c r="H461" s="6" t="s">
        <v>2594</v>
      </c>
      <c r="I461" s="5">
        <v>1906</v>
      </c>
      <c r="J461" s="5">
        <v>6253</v>
      </c>
      <c r="K461" s="7" t="str">
        <f>HYPERLINK("http://www.centcols.org/util/geo/visuGen.php?code=US-UT-1906","US-UT-1906")</f>
        <v>US-UT-1906</v>
      </c>
      <c r="L461" s="8" t="s">
        <v>2595</v>
      </c>
      <c r="M461" s="8" t="s">
        <v>3113</v>
      </c>
      <c r="N461" s="8">
        <v>10</v>
      </c>
      <c r="O461" s="8">
        <v>35</v>
      </c>
      <c r="P461" s="8"/>
      <c r="Q461" s="5">
        <v>-111.8233849</v>
      </c>
      <c r="R461" s="5">
        <v>37.446113</v>
      </c>
      <c r="S461" s="5" t="s">
        <v>2596</v>
      </c>
      <c r="T461" s="5" t="s">
        <v>2597</v>
      </c>
      <c r="U461" s="8"/>
      <c r="V461" s="8"/>
      <c r="W461" s="8" t="s">
        <v>2966</v>
      </c>
      <c r="X461" s="8" t="s">
        <v>2967</v>
      </c>
    </row>
    <row r="462" spans="1:24" ht="22.5">
      <c r="A462" s="5" t="s">
        <v>2598</v>
      </c>
      <c r="B462" s="5" t="s">
        <v>2599</v>
      </c>
      <c r="C462" s="6" t="s">
        <v>1819</v>
      </c>
      <c r="D462" s="6"/>
      <c r="E462" s="6"/>
      <c r="F462" s="5" t="s">
        <v>342</v>
      </c>
      <c r="G462" s="5"/>
      <c r="H462" s="6" t="s">
        <v>373</v>
      </c>
      <c r="I462" s="5">
        <v>1927</v>
      </c>
      <c r="J462" s="5">
        <v>6322</v>
      </c>
      <c r="K462" s="7" t="str">
        <f>HYPERLINK("http://www.centcols.org/util/geo/visuGen.php?code=US-UT-1927","US-UT-1927")</f>
        <v>US-UT-1927</v>
      </c>
      <c r="L462" s="8" t="s">
        <v>2600</v>
      </c>
      <c r="M462" s="9" t="s">
        <v>2601</v>
      </c>
      <c r="N462" s="8">
        <v>0</v>
      </c>
      <c r="O462" s="8">
        <v>0</v>
      </c>
      <c r="P462" s="8"/>
      <c r="Q462" s="5">
        <v>-113.6394379</v>
      </c>
      <c r="R462" s="5">
        <v>39.073892</v>
      </c>
      <c r="S462" s="5" t="s">
        <v>2602</v>
      </c>
      <c r="T462" s="5" t="s">
        <v>2603</v>
      </c>
      <c r="U462" s="8"/>
      <c r="V462" s="8"/>
      <c r="W462" s="8" t="s">
        <v>2966</v>
      </c>
      <c r="X462" s="9" t="s">
        <v>1824</v>
      </c>
    </row>
    <row r="463" spans="1:24" ht="22.5">
      <c r="A463" s="5" t="s">
        <v>2604</v>
      </c>
      <c r="B463" s="5" t="s">
        <v>2605</v>
      </c>
      <c r="C463" s="6" t="s">
        <v>1819</v>
      </c>
      <c r="D463" s="6"/>
      <c r="E463" s="6"/>
      <c r="F463" s="5" t="s">
        <v>342</v>
      </c>
      <c r="G463" s="5"/>
      <c r="H463" s="6" t="s">
        <v>379</v>
      </c>
      <c r="I463" s="5">
        <v>1965</v>
      </c>
      <c r="J463" s="5">
        <v>6447</v>
      </c>
      <c r="K463" s="7" t="str">
        <f>HYPERLINK("http://www.centcols.org/util/geo/visuGen.php?code=US-UT-1965","US-UT-1965")</f>
        <v>US-UT-1965</v>
      </c>
      <c r="L463" s="8" t="s">
        <v>2606</v>
      </c>
      <c r="M463" s="9" t="s">
        <v>2607</v>
      </c>
      <c r="N463" s="8">
        <v>0</v>
      </c>
      <c r="O463" s="8">
        <v>0</v>
      </c>
      <c r="P463" s="8"/>
      <c r="Q463" s="5">
        <v>-113.3686889</v>
      </c>
      <c r="R463" s="5">
        <v>37.6093922</v>
      </c>
      <c r="S463" s="5" t="s">
        <v>2608</v>
      </c>
      <c r="T463" s="5" t="s">
        <v>2609</v>
      </c>
      <c r="U463" s="8"/>
      <c r="V463" s="8"/>
      <c r="W463" s="8" t="s">
        <v>2966</v>
      </c>
      <c r="X463" s="9" t="s">
        <v>1824</v>
      </c>
    </row>
    <row r="464" spans="1:24" ht="11.25">
      <c r="A464" s="5" t="s">
        <v>2610</v>
      </c>
      <c r="B464" s="5" t="s">
        <v>2611</v>
      </c>
      <c r="C464" s="6" t="s">
        <v>1154</v>
      </c>
      <c r="D464" s="6"/>
      <c r="E464" s="6"/>
      <c r="F464" s="5" t="s">
        <v>342</v>
      </c>
      <c r="G464" s="5"/>
      <c r="H464" s="6" t="s">
        <v>2612</v>
      </c>
      <c r="I464" s="5">
        <v>1970</v>
      </c>
      <c r="J464" s="5">
        <v>6463</v>
      </c>
      <c r="K464" s="7" t="str">
        <f>HYPERLINK("http://www.centcols.org/util/geo/visuGen.php?code=US-UT-1970","US-UT-1970")</f>
        <v>US-UT-1970</v>
      </c>
      <c r="L464" s="8" t="s">
        <v>2613</v>
      </c>
      <c r="M464" s="8" t="s">
        <v>2614</v>
      </c>
      <c r="N464" s="8">
        <v>20</v>
      </c>
      <c r="O464" s="8">
        <v>99</v>
      </c>
      <c r="P464" s="8"/>
      <c r="Q464" s="5">
        <v>-112.310708</v>
      </c>
      <c r="R464" s="5">
        <v>39.893416</v>
      </c>
      <c r="S464" s="5" t="s">
        <v>2615</v>
      </c>
      <c r="T464" s="5" t="s">
        <v>2616</v>
      </c>
      <c r="U464" s="8"/>
      <c r="V464" s="8"/>
      <c r="W464" s="8" t="s">
        <v>2966</v>
      </c>
      <c r="X464" s="8" t="s">
        <v>2991</v>
      </c>
    </row>
    <row r="465" spans="1:24" ht="11.25">
      <c r="A465" s="5" t="s">
        <v>2617</v>
      </c>
      <c r="B465" s="5" t="s">
        <v>2618</v>
      </c>
      <c r="C465" s="6" t="s">
        <v>2619</v>
      </c>
      <c r="D465" s="6"/>
      <c r="E465" s="6"/>
      <c r="F465" s="5" t="s">
        <v>342</v>
      </c>
      <c r="G465" s="5"/>
      <c r="H465" s="6" t="s">
        <v>2612</v>
      </c>
      <c r="I465" s="5">
        <v>2104</v>
      </c>
      <c r="J465" s="5">
        <v>6903</v>
      </c>
      <c r="K465" s="7" t="str">
        <f>HYPERLINK("http://www.centcols.org/util/geo/visuGen.php?code=US-UT-2104","US-UT-2104")</f>
        <v>US-UT-2104</v>
      </c>
      <c r="L465" s="8" t="s">
        <v>2620</v>
      </c>
      <c r="M465" s="8" t="s">
        <v>2988</v>
      </c>
      <c r="N465" s="8">
        <v>10</v>
      </c>
      <c r="O465" s="8">
        <v>35</v>
      </c>
      <c r="P465" s="8"/>
      <c r="Q465" s="5">
        <v>-112.1135559</v>
      </c>
      <c r="R465" s="5">
        <v>39.9221721</v>
      </c>
      <c r="S465" s="5" t="s">
        <v>2621</v>
      </c>
      <c r="T465" s="5" t="s">
        <v>2622</v>
      </c>
      <c r="U465" s="8"/>
      <c r="V465" s="8"/>
      <c r="W465" s="8" t="s">
        <v>2966</v>
      </c>
      <c r="X465" s="8" t="s">
        <v>3202</v>
      </c>
    </row>
    <row r="466" spans="1:24" ht="11.25">
      <c r="A466" s="5" t="s">
        <v>2623</v>
      </c>
      <c r="B466" s="5" t="s">
        <v>2624</v>
      </c>
      <c r="C466" s="6" t="s">
        <v>3863</v>
      </c>
      <c r="D466" s="6"/>
      <c r="E466" s="6"/>
      <c r="F466" s="5" t="s">
        <v>342</v>
      </c>
      <c r="G466" s="5"/>
      <c r="H466" s="6" t="s">
        <v>520</v>
      </c>
      <c r="I466" s="5">
        <v>2265</v>
      </c>
      <c r="J466" s="5">
        <v>7431</v>
      </c>
      <c r="K466" s="7" t="str">
        <f>HYPERLINK("http://www.centcols.org/util/geo/visuGen.php?code=US-UT-2265a","US-UT-2265a")</f>
        <v>US-UT-2265a</v>
      </c>
      <c r="L466" s="8" t="s">
        <v>2625</v>
      </c>
      <c r="M466" s="8" t="s">
        <v>3113</v>
      </c>
      <c r="N466" s="8">
        <v>10</v>
      </c>
      <c r="O466" s="8">
        <v>35</v>
      </c>
      <c r="P466" s="8"/>
      <c r="Q466" s="5">
        <v>-109.755062</v>
      </c>
      <c r="R466" s="5">
        <v>37.748748</v>
      </c>
      <c r="S466" s="5" t="s">
        <v>2626</v>
      </c>
      <c r="T466" s="5" t="s">
        <v>2627</v>
      </c>
      <c r="U466" s="8"/>
      <c r="V466" s="8"/>
      <c r="W466" s="8" t="s">
        <v>2966</v>
      </c>
      <c r="X466" s="8" t="s">
        <v>2991</v>
      </c>
    </row>
    <row r="467" spans="1:24" ht="22.5">
      <c r="A467" s="5" t="s">
        <v>2628</v>
      </c>
      <c r="B467" s="5" t="s">
        <v>2629</v>
      </c>
      <c r="C467" s="6" t="s">
        <v>1819</v>
      </c>
      <c r="D467" s="6"/>
      <c r="E467" s="6"/>
      <c r="F467" s="5" t="s">
        <v>342</v>
      </c>
      <c r="G467" s="5"/>
      <c r="H467" s="6" t="s">
        <v>535</v>
      </c>
      <c r="I467" s="5">
        <v>2314</v>
      </c>
      <c r="J467" s="5">
        <v>7592</v>
      </c>
      <c r="K467" s="7" t="str">
        <f>HYPERLINK("http://www.centcols.org/util/geo/visuGen.php?code=US-UT-2314a","US-UT-2314a")</f>
        <v>US-UT-2314a</v>
      </c>
      <c r="L467" s="8" t="s">
        <v>2630</v>
      </c>
      <c r="M467" s="9" t="s">
        <v>2631</v>
      </c>
      <c r="N467" s="8">
        <v>0</v>
      </c>
      <c r="O467" s="8">
        <v>0</v>
      </c>
      <c r="P467" s="8"/>
      <c r="Q467" s="5">
        <v>-111.8435878</v>
      </c>
      <c r="R467" s="5">
        <v>37.6381421</v>
      </c>
      <c r="S467" s="5" t="s">
        <v>2632</v>
      </c>
      <c r="T467" s="5" t="s">
        <v>2633</v>
      </c>
      <c r="U467" s="8"/>
      <c r="V467" s="8"/>
      <c r="W467" s="8" t="s">
        <v>2966</v>
      </c>
      <c r="X467" s="9" t="s">
        <v>1824</v>
      </c>
    </row>
    <row r="468" spans="1:24" ht="22.5">
      <c r="A468" s="5" t="s">
        <v>2634</v>
      </c>
      <c r="B468" s="5" t="s">
        <v>2635</v>
      </c>
      <c r="C468" s="6" t="s">
        <v>1819</v>
      </c>
      <c r="D468" s="6"/>
      <c r="E468" s="6"/>
      <c r="F468" s="5" t="s">
        <v>342</v>
      </c>
      <c r="G468" s="5"/>
      <c r="H468" s="6" t="s">
        <v>535</v>
      </c>
      <c r="I468" s="5">
        <v>2369</v>
      </c>
      <c r="J468" s="5">
        <v>7772</v>
      </c>
      <c r="K468" s="7" t="str">
        <f>HYPERLINK("http://www.centcols.org/util/geo/visuGen.php?code=US-UT-2369","US-UT-2369")</f>
        <v>US-UT-2369</v>
      </c>
      <c r="L468" s="8" t="s">
        <v>2636</v>
      </c>
      <c r="M468" s="9" t="s">
        <v>2631</v>
      </c>
      <c r="N468" s="8">
        <v>0</v>
      </c>
      <c r="O468" s="8">
        <v>0</v>
      </c>
      <c r="P468" s="8"/>
      <c r="Q468" s="5">
        <v>-112.2228049</v>
      </c>
      <c r="R468" s="5">
        <v>37.7133641</v>
      </c>
      <c r="S468" s="5" t="s">
        <v>2637</v>
      </c>
      <c r="T468" s="5" t="s">
        <v>2638</v>
      </c>
      <c r="U468" s="8"/>
      <c r="V468" s="8"/>
      <c r="W468" s="8" t="s">
        <v>2966</v>
      </c>
      <c r="X468" s="9" t="s">
        <v>1824</v>
      </c>
    </row>
    <row r="469" spans="1:24" ht="22.5">
      <c r="A469" s="5" t="s">
        <v>2639</v>
      </c>
      <c r="B469" s="5" t="s">
        <v>2640</v>
      </c>
      <c r="C469" s="6" t="s">
        <v>1819</v>
      </c>
      <c r="D469" s="6"/>
      <c r="E469" s="6"/>
      <c r="F469" s="5" t="s">
        <v>342</v>
      </c>
      <c r="G469" s="5"/>
      <c r="H469" s="6" t="s">
        <v>2979</v>
      </c>
      <c r="I469" s="5">
        <v>2764</v>
      </c>
      <c r="J469" s="5">
        <v>9068</v>
      </c>
      <c r="K469" s="7" t="str">
        <f>HYPERLINK("http://www.centcols.org/util/geo/visuGen.php?code=US-UT-2764a","US-UT-2764a")</f>
        <v>US-UT-2764a</v>
      </c>
      <c r="L469" s="8" t="s">
        <v>2641</v>
      </c>
      <c r="M469" s="9" t="s">
        <v>2642</v>
      </c>
      <c r="N469" s="8">
        <v>0</v>
      </c>
      <c r="O469" s="8">
        <v>0</v>
      </c>
      <c r="P469" s="8"/>
      <c r="Q469" s="5">
        <v>-110.7479179</v>
      </c>
      <c r="R469" s="5">
        <v>39.8857221</v>
      </c>
      <c r="S469" s="5" t="s">
        <v>2643</v>
      </c>
      <c r="T469" s="5" t="s">
        <v>2644</v>
      </c>
      <c r="U469" s="8"/>
      <c r="V469" s="8"/>
      <c r="W469" s="8" t="s">
        <v>2966</v>
      </c>
      <c r="X469" s="9" t="s">
        <v>1824</v>
      </c>
    </row>
    <row r="470" spans="1:24" ht="11.25">
      <c r="A470" s="5" t="s">
        <v>2645</v>
      </c>
      <c r="B470" s="5" t="s">
        <v>2646</v>
      </c>
      <c r="C470" s="6" t="s">
        <v>2647</v>
      </c>
      <c r="D470" s="6"/>
      <c r="E470" s="6"/>
      <c r="F470" s="5" t="s">
        <v>342</v>
      </c>
      <c r="G470" s="5"/>
      <c r="H470" s="6" t="s">
        <v>358</v>
      </c>
      <c r="I470" s="5">
        <v>2811</v>
      </c>
      <c r="J470" s="5">
        <v>9222</v>
      </c>
      <c r="K470" s="7" t="str">
        <f>HYPERLINK("http://www.centcols.org/util/geo/visuGen.php?code=US-UT-2811","US-UT-2811")</f>
        <v>US-UT-2811</v>
      </c>
      <c r="L470" s="8" t="s">
        <v>2648</v>
      </c>
      <c r="M470" s="9"/>
      <c r="N470" s="8">
        <v>15</v>
      </c>
      <c r="O470" s="8">
        <v>99</v>
      </c>
      <c r="P470" s="8"/>
      <c r="Q470" s="5">
        <v>-111.4218194</v>
      </c>
      <c r="R470" s="5">
        <v>38.4423606</v>
      </c>
      <c r="S470" s="5" t="s">
        <v>2649</v>
      </c>
      <c r="T470" s="5" t="s">
        <v>2650</v>
      </c>
      <c r="U470" s="8"/>
      <c r="V470" s="8"/>
      <c r="W470" s="8" t="s">
        <v>2966</v>
      </c>
      <c r="X470" s="8" t="s">
        <v>3011</v>
      </c>
    </row>
    <row r="471" spans="1:24" ht="22.5">
      <c r="A471" s="5" t="s">
        <v>2651</v>
      </c>
      <c r="B471" s="5" t="s">
        <v>2652</v>
      </c>
      <c r="C471" s="6" t="s">
        <v>1819</v>
      </c>
      <c r="D471" s="6"/>
      <c r="E471" s="6"/>
      <c r="F471" s="5" t="s">
        <v>342</v>
      </c>
      <c r="G471" s="5"/>
      <c r="H471" s="6" t="s">
        <v>2979</v>
      </c>
      <c r="I471" s="5">
        <v>2928</v>
      </c>
      <c r="J471" s="5">
        <v>9606</v>
      </c>
      <c r="K471" s="7" t="str">
        <f>HYPERLINK("http://www.centcols.org/util/geo/visuGen.php?code=US-UT-2928","US-UT-2928")</f>
        <v>US-UT-2928</v>
      </c>
      <c r="L471" s="8" t="s">
        <v>2653</v>
      </c>
      <c r="M471" s="8" t="s">
        <v>2631</v>
      </c>
      <c r="N471" s="8">
        <v>0</v>
      </c>
      <c r="O471" s="8">
        <v>0</v>
      </c>
      <c r="P471" s="8"/>
      <c r="Q471" s="5">
        <v>-111.3304989</v>
      </c>
      <c r="R471" s="5">
        <v>38.0366731</v>
      </c>
      <c r="S471" s="5" t="s">
        <v>2654</v>
      </c>
      <c r="T471" s="5" t="s">
        <v>2655</v>
      </c>
      <c r="U471" s="8"/>
      <c r="V471" s="8"/>
      <c r="W471" s="8" t="s">
        <v>2966</v>
      </c>
      <c r="X471" s="9" t="s">
        <v>1824</v>
      </c>
    </row>
    <row r="472" spans="1:24" ht="11.25">
      <c r="A472" s="5" t="s">
        <v>2656</v>
      </c>
      <c r="B472" s="5" t="s">
        <v>2657</v>
      </c>
      <c r="C472" s="6" t="s">
        <v>2658</v>
      </c>
      <c r="D472" s="6"/>
      <c r="E472" s="6"/>
      <c r="F472" s="5" t="s">
        <v>342</v>
      </c>
      <c r="G472" s="5"/>
      <c r="H472" s="6" t="s">
        <v>2659</v>
      </c>
      <c r="I472" s="5">
        <v>3116</v>
      </c>
      <c r="J472" s="5">
        <v>10223</v>
      </c>
      <c r="K472" s="7" t="str">
        <f>HYPERLINK("http://www.centcols.org/util/geo/visuGen.php?code=US-UT-3116","US-UT-3116")</f>
        <v>US-UT-3116</v>
      </c>
      <c r="L472" s="8" t="s">
        <v>2660</v>
      </c>
      <c r="M472" s="8" t="s">
        <v>2988</v>
      </c>
      <c r="N472" s="8">
        <v>10</v>
      </c>
      <c r="O472" s="8">
        <v>35</v>
      </c>
      <c r="P472" s="8"/>
      <c r="Q472" s="5">
        <v>-110.981108</v>
      </c>
      <c r="R472" s="5">
        <v>40.051722</v>
      </c>
      <c r="S472" s="5" t="s">
        <v>2661</v>
      </c>
      <c r="T472" s="5" t="s">
        <v>2662</v>
      </c>
      <c r="U472" s="8"/>
      <c r="V472" s="8"/>
      <c r="W472" s="8" t="s">
        <v>2966</v>
      </c>
      <c r="X472" s="8" t="s">
        <v>2663</v>
      </c>
    </row>
    <row r="473" spans="1:24" ht="11.25">
      <c r="A473" s="5" t="s">
        <v>2664</v>
      </c>
      <c r="B473" s="5" t="s">
        <v>2665</v>
      </c>
      <c r="C473" s="6" t="s">
        <v>2666</v>
      </c>
      <c r="D473" s="6"/>
      <c r="E473" s="6"/>
      <c r="F473" s="5" t="s">
        <v>1289</v>
      </c>
      <c r="G473" s="5"/>
      <c r="H473" s="6" t="s">
        <v>2667</v>
      </c>
      <c r="I473" s="5">
        <v>229</v>
      </c>
      <c r="J473" s="5">
        <v>751</v>
      </c>
      <c r="K473" s="7" t="str">
        <f>HYPERLINK("http://www.centcols.org/util/geo/visuGen.php?code=US-VA-0229a","US-VA-0229a")</f>
        <v>US-VA-0229a</v>
      </c>
      <c r="L473" s="8" t="s">
        <v>2355</v>
      </c>
      <c r="M473" s="9" t="s">
        <v>2668</v>
      </c>
      <c r="N473" s="8">
        <v>0</v>
      </c>
      <c r="O473" s="8">
        <v>0</v>
      </c>
      <c r="P473" s="8"/>
      <c r="Q473" s="5">
        <v>-78.325091</v>
      </c>
      <c r="R473" s="5">
        <v>39.0946771</v>
      </c>
      <c r="S473" s="5" t="s">
        <v>2669</v>
      </c>
      <c r="T473" s="5" t="s">
        <v>2670</v>
      </c>
      <c r="U473" s="8"/>
      <c r="V473" s="8"/>
      <c r="W473" s="8" t="s">
        <v>2966</v>
      </c>
      <c r="X473" s="8" t="s">
        <v>2671</v>
      </c>
    </row>
    <row r="474" spans="1:24" ht="11.25">
      <c r="A474" s="5" t="s">
        <v>2672</v>
      </c>
      <c r="B474" s="5" t="s">
        <v>2673</v>
      </c>
      <c r="C474" s="6" t="s">
        <v>2674</v>
      </c>
      <c r="D474" s="6"/>
      <c r="E474" s="6"/>
      <c r="F474" s="5" t="s">
        <v>1289</v>
      </c>
      <c r="G474" s="5"/>
      <c r="H474" s="6" t="s">
        <v>2667</v>
      </c>
      <c r="I474" s="5">
        <v>276</v>
      </c>
      <c r="J474" s="5">
        <v>906</v>
      </c>
      <c r="K474" s="7" t="str">
        <f>HYPERLINK("http://www.centcols.org/util/geo/visuGen.php?code=US-VA-0276a","US-VA-0276a")</f>
        <v>US-VA-0276a</v>
      </c>
      <c r="L474" s="8" t="s">
        <v>2675</v>
      </c>
      <c r="M474" s="8" t="s">
        <v>2988</v>
      </c>
      <c r="N474" s="8">
        <v>10</v>
      </c>
      <c r="O474" s="8">
        <v>35</v>
      </c>
      <c r="P474" s="8"/>
      <c r="Q474" s="5">
        <v>-78.288788</v>
      </c>
      <c r="R474" s="5">
        <v>39.142982</v>
      </c>
      <c r="S474" s="5" t="s">
        <v>2676</v>
      </c>
      <c r="T474" s="5" t="s">
        <v>2677</v>
      </c>
      <c r="U474" s="8"/>
      <c r="V474" s="8"/>
      <c r="W474" s="8" t="s">
        <v>2966</v>
      </c>
      <c r="X474" s="8" t="s">
        <v>2671</v>
      </c>
    </row>
    <row r="475" spans="1:24" ht="11.25">
      <c r="A475" s="5" t="s">
        <v>2678</v>
      </c>
      <c r="B475" s="5" t="s">
        <v>2679</v>
      </c>
      <c r="C475" s="6" t="s">
        <v>2680</v>
      </c>
      <c r="D475" s="6"/>
      <c r="E475" s="6"/>
      <c r="F475" s="5" t="s">
        <v>1289</v>
      </c>
      <c r="G475" s="5"/>
      <c r="H475" s="6" t="s">
        <v>2681</v>
      </c>
      <c r="I475" s="5">
        <v>366</v>
      </c>
      <c r="J475" s="5">
        <v>1201</v>
      </c>
      <c r="K475" s="7" t="str">
        <f>HYPERLINK("http://www.centcols.org/util/geo/visuGen.php?code=US-VA-0366","US-VA-0366")</f>
        <v>US-VA-0366</v>
      </c>
      <c r="L475" s="8" t="s">
        <v>2682</v>
      </c>
      <c r="M475" s="8" t="s">
        <v>2988</v>
      </c>
      <c r="N475" s="8">
        <v>10</v>
      </c>
      <c r="O475" s="8">
        <v>35</v>
      </c>
      <c r="P475" s="8"/>
      <c r="Q475" s="5">
        <v>-82.9588868</v>
      </c>
      <c r="R475" s="5">
        <v>36.5994461</v>
      </c>
      <c r="S475" s="5" t="s">
        <v>2683</v>
      </c>
      <c r="T475" s="5" t="s">
        <v>2684</v>
      </c>
      <c r="U475" s="8"/>
      <c r="V475" s="8"/>
      <c r="W475" s="8" t="s">
        <v>2966</v>
      </c>
      <c r="X475" s="8" t="s">
        <v>2991</v>
      </c>
    </row>
    <row r="476" spans="1:24" ht="11.25">
      <c r="A476" s="5" t="s">
        <v>2685</v>
      </c>
      <c r="B476" s="5" t="s">
        <v>2686</v>
      </c>
      <c r="C476" s="6" t="s">
        <v>2687</v>
      </c>
      <c r="D476" s="6"/>
      <c r="E476" s="6"/>
      <c r="F476" s="5" t="s">
        <v>1289</v>
      </c>
      <c r="G476" s="5"/>
      <c r="H476" s="6" t="s">
        <v>2681</v>
      </c>
      <c r="I476" s="5">
        <v>381</v>
      </c>
      <c r="J476" s="5">
        <v>1250</v>
      </c>
      <c r="K476" s="7" t="str">
        <f>HYPERLINK("http://www.centcols.org/util/geo/visuGen.php?code=US-VA-0381","US-VA-0381")</f>
        <v>US-VA-0381</v>
      </c>
      <c r="L476" s="8" t="s">
        <v>2688</v>
      </c>
      <c r="M476" s="9" t="s">
        <v>2689</v>
      </c>
      <c r="N476" s="8">
        <v>0</v>
      </c>
      <c r="O476" s="8">
        <v>0</v>
      </c>
      <c r="P476" s="8"/>
      <c r="Q476" s="5">
        <v>-82.491318</v>
      </c>
      <c r="R476" s="5">
        <v>36.639102</v>
      </c>
      <c r="S476" s="5" t="s">
        <v>2690</v>
      </c>
      <c r="T476" s="5" t="s">
        <v>2691</v>
      </c>
      <c r="U476" s="8"/>
      <c r="V476" s="8"/>
      <c r="W476" s="8" t="s">
        <v>2966</v>
      </c>
      <c r="X476" s="8" t="s">
        <v>2991</v>
      </c>
    </row>
    <row r="477" spans="1:24" ht="11.25">
      <c r="A477" s="5" t="s">
        <v>2692</v>
      </c>
      <c r="B477" s="5" t="s">
        <v>2693</v>
      </c>
      <c r="C477" s="6" t="s">
        <v>2694</v>
      </c>
      <c r="D477" s="6"/>
      <c r="E477" s="6" t="s">
        <v>2695</v>
      </c>
      <c r="F477" s="5" t="s">
        <v>1289</v>
      </c>
      <c r="G477" s="5"/>
      <c r="H477" s="6" t="s">
        <v>2681</v>
      </c>
      <c r="I477" s="5">
        <v>388</v>
      </c>
      <c r="J477" s="5">
        <v>1273</v>
      </c>
      <c r="K477" s="7" t="str">
        <f>HYPERLINK("http://www.centcols.org/util/geo/visuGen.php?code=US-VA-0388a","US-VA-0388a")</f>
        <v>US-VA-0388a</v>
      </c>
      <c r="L477" s="8" t="s">
        <v>2688</v>
      </c>
      <c r="M477" s="9" t="s">
        <v>2696</v>
      </c>
      <c r="N477" s="8">
        <v>0</v>
      </c>
      <c r="O477" s="8">
        <v>0</v>
      </c>
      <c r="P477" s="8"/>
      <c r="Q477" s="5">
        <v>-82.4602479</v>
      </c>
      <c r="R477" s="5">
        <v>36.6501021</v>
      </c>
      <c r="S477" s="5" t="s">
        <v>2697</v>
      </c>
      <c r="T477" s="5" t="s">
        <v>2698</v>
      </c>
      <c r="U477" s="8"/>
      <c r="V477" s="8"/>
      <c r="W477" s="8" t="s">
        <v>2966</v>
      </c>
      <c r="X477" s="8" t="s">
        <v>2991</v>
      </c>
    </row>
    <row r="478" spans="1:24" ht="11.25">
      <c r="A478" s="5" t="s">
        <v>2699</v>
      </c>
      <c r="B478" s="5" t="s">
        <v>2700</v>
      </c>
      <c r="C478" s="6" t="s">
        <v>2701</v>
      </c>
      <c r="D478" s="6"/>
      <c r="E478" s="6"/>
      <c r="F478" s="5" t="s">
        <v>1289</v>
      </c>
      <c r="G478" s="5"/>
      <c r="H478" s="6" t="s">
        <v>2681</v>
      </c>
      <c r="I478" s="5">
        <v>397</v>
      </c>
      <c r="J478" s="5">
        <v>1302</v>
      </c>
      <c r="K478" s="7" t="str">
        <f>HYPERLINK("http://www.centcols.org/util/geo/visuGen.php?code=US-VA-0397a","US-VA-0397a")</f>
        <v>US-VA-0397a</v>
      </c>
      <c r="L478" s="8" t="s">
        <v>2688</v>
      </c>
      <c r="M478" s="8" t="s">
        <v>2988</v>
      </c>
      <c r="N478" s="8">
        <v>10</v>
      </c>
      <c r="O478" s="8">
        <v>35</v>
      </c>
      <c r="P478" s="8"/>
      <c r="Q478" s="5">
        <v>-82.4424979</v>
      </c>
      <c r="R478" s="5">
        <v>36.655002</v>
      </c>
      <c r="S478" s="5" t="s">
        <v>2702</v>
      </c>
      <c r="T478" s="5" t="s">
        <v>2703</v>
      </c>
      <c r="U478" s="8"/>
      <c r="V478" s="8"/>
      <c r="W478" s="8" t="s">
        <v>2966</v>
      </c>
      <c r="X478" s="8" t="s">
        <v>2991</v>
      </c>
    </row>
    <row r="479" spans="1:24" ht="11.25">
      <c r="A479" s="5" t="s">
        <v>2704</v>
      </c>
      <c r="B479" s="5" t="s">
        <v>2705</v>
      </c>
      <c r="C479" s="6" t="s">
        <v>2706</v>
      </c>
      <c r="D479" s="6"/>
      <c r="E479" s="6"/>
      <c r="F479" s="5" t="s">
        <v>1289</v>
      </c>
      <c r="G479" s="5"/>
      <c r="H479" s="6" t="s">
        <v>2681</v>
      </c>
      <c r="I479" s="5">
        <v>399</v>
      </c>
      <c r="J479" s="5">
        <v>1309</v>
      </c>
      <c r="K479" s="7" t="str">
        <f>HYPERLINK("http://www.centcols.org/util/geo/visuGen.php?code=US-VA-0399","US-VA-0399")</f>
        <v>US-VA-0399</v>
      </c>
      <c r="L479" s="8" t="s">
        <v>2688</v>
      </c>
      <c r="M479" s="9" t="s">
        <v>2707</v>
      </c>
      <c r="N479" s="8">
        <v>0</v>
      </c>
      <c r="O479" s="8">
        <v>0</v>
      </c>
      <c r="P479" s="8"/>
      <c r="Q479" s="5">
        <v>-82.411218</v>
      </c>
      <c r="R479" s="5">
        <v>36.662252</v>
      </c>
      <c r="S479" s="5" t="s">
        <v>2708</v>
      </c>
      <c r="T479" s="5" t="s">
        <v>2709</v>
      </c>
      <c r="U479" s="8"/>
      <c r="V479" s="8"/>
      <c r="W479" s="8" t="s">
        <v>2966</v>
      </c>
      <c r="X479" s="8" t="s">
        <v>2991</v>
      </c>
    </row>
    <row r="480" spans="1:24" ht="11.25">
      <c r="A480" s="5" t="s">
        <v>2710</v>
      </c>
      <c r="B480" s="5" t="s">
        <v>2711</v>
      </c>
      <c r="C480" s="6" t="s">
        <v>2712</v>
      </c>
      <c r="D480" s="6"/>
      <c r="E480" s="6"/>
      <c r="F480" s="5" t="s">
        <v>1289</v>
      </c>
      <c r="G480" s="5"/>
      <c r="H480" s="6" t="s">
        <v>2681</v>
      </c>
      <c r="I480" s="5">
        <v>400</v>
      </c>
      <c r="J480" s="5">
        <v>1312</v>
      </c>
      <c r="K480" s="7" t="str">
        <f>HYPERLINK("http://www.centcols.org/util/geo/visuGen.php?code=US-VA-0400","US-VA-0400")</f>
        <v>US-VA-0400</v>
      </c>
      <c r="L480" s="8" t="s">
        <v>222</v>
      </c>
      <c r="M480" s="8" t="s">
        <v>2988</v>
      </c>
      <c r="N480" s="8">
        <v>10</v>
      </c>
      <c r="O480" s="8">
        <v>35</v>
      </c>
      <c r="P480" s="8"/>
      <c r="Q480" s="5">
        <v>-82.8338289</v>
      </c>
      <c r="R480" s="5">
        <v>36.6081391</v>
      </c>
      <c r="S480" s="5" t="s">
        <v>2713</v>
      </c>
      <c r="T480" s="5" t="s">
        <v>2714</v>
      </c>
      <c r="U480" s="8"/>
      <c r="V480" s="8"/>
      <c r="W480" s="8" t="s">
        <v>2966</v>
      </c>
      <c r="X480" s="8" t="s">
        <v>2991</v>
      </c>
    </row>
    <row r="481" spans="1:24" ht="11.25">
      <c r="A481" s="5" t="s">
        <v>2715</v>
      </c>
      <c r="B481" s="5" t="s">
        <v>2716</v>
      </c>
      <c r="C481" s="6" t="s">
        <v>2717</v>
      </c>
      <c r="D481" s="6"/>
      <c r="E481" s="6"/>
      <c r="F481" s="5" t="s">
        <v>1289</v>
      </c>
      <c r="G481" s="5"/>
      <c r="H481" s="6" t="s">
        <v>2681</v>
      </c>
      <c r="I481" s="5">
        <v>401</v>
      </c>
      <c r="J481" s="5">
        <v>1316</v>
      </c>
      <c r="K481" s="7" t="str">
        <f>HYPERLINK("http://www.centcols.org/util/geo/visuGen.php?code=US-VA-0401","US-VA-0401")</f>
        <v>US-VA-0401</v>
      </c>
      <c r="L481" s="8" t="s">
        <v>2688</v>
      </c>
      <c r="M481" s="9" t="s">
        <v>2718</v>
      </c>
      <c r="N481" s="8">
        <v>0</v>
      </c>
      <c r="O481" s="8">
        <v>0</v>
      </c>
      <c r="P481" s="8"/>
      <c r="Q481" s="5">
        <v>-82.383888</v>
      </c>
      <c r="R481" s="5">
        <v>36.671942</v>
      </c>
      <c r="S481" s="5" t="s">
        <v>2719</v>
      </c>
      <c r="T481" s="5" t="s">
        <v>2720</v>
      </c>
      <c r="U481" s="8"/>
      <c r="V481" s="8"/>
      <c r="W481" s="8" t="s">
        <v>2966</v>
      </c>
      <c r="X481" s="8" t="s">
        <v>2991</v>
      </c>
    </row>
    <row r="482" spans="1:24" ht="11.25">
      <c r="A482" s="5" t="s">
        <v>2721</v>
      </c>
      <c r="B482" s="5" t="s">
        <v>2722</v>
      </c>
      <c r="C482" s="6" t="s">
        <v>2723</v>
      </c>
      <c r="D482" s="6"/>
      <c r="E482" s="6" t="s">
        <v>2724</v>
      </c>
      <c r="F482" s="5" t="s">
        <v>1289</v>
      </c>
      <c r="G482" s="5"/>
      <c r="H482" s="6" t="s">
        <v>2681</v>
      </c>
      <c r="I482" s="5">
        <v>402</v>
      </c>
      <c r="J482" s="5">
        <v>1319</v>
      </c>
      <c r="K482" s="7" t="str">
        <f>HYPERLINK("http://www.centcols.org/util/geo/visuGen.php?code=US-VA-0402","US-VA-0402")</f>
        <v>US-VA-0402</v>
      </c>
      <c r="L482" s="8" t="s">
        <v>2725</v>
      </c>
      <c r="M482" s="8" t="s">
        <v>2726</v>
      </c>
      <c r="N482" s="8">
        <v>0</v>
      </c>
      <c r="O482" s="8">
        <v>0</v>
      </c>
      <c r="P482" s="8"/>
      <c r="Q482" s="5">
        <v>-82.8427759</v>
      </c>
      <c r="R482" s="5">
        <v>36.6463911</v>
      </c>
      <c r="S482" s="5" t="s">
        <v>2727</v>
      </c>
      <c r="T482" s="5" t="s">
        <v>2728</v>
      </c>
      <c r="U482" s="8"/>
      <c r="V482" s="8"/>
      <c r="W482" s="8" t="s">
        <v>2966</v>
      </c>
      <c r="X482" s="8" t="s">
        <v>2991</v>
      </c>
    </row>
    <row r="483" spans="1:24" ht="11.25">
      <c r="A483" s="5" t="s">
        <v>2729</v>
      </c>
      <c r="B483" s="5" t="s">
        <v>2730</v>
      </c>
      <c r="C483" s="6" t="s">
        <v>2731</v>
      </c>
      <c r="D483" s="6"/>
      <c r="E483" s="6"/>
      <c r="F483" s="5" t="s">
        <v>1289</v>
      </c>
      <c r="G483" s="5"/>
      <c r="H483" s="6" t="s">
        <v>2732</v>
      </c>
      <c r="I483" s="5">
        <v>404</v>
      </c>
      <c r="J483" s="5">
        <v>1325</v>
      </c>
      <c r="K483" s="7" t="str">
        <f>HYPERLINK("http://www.centcols.org/util/geo/visuGen.php?code=US-VA-0404","US-VA-0404")</f>
        <v>US-VA-0404</v>
      </c>
      <c r="L483" s="8" t="s">
        <v>2733</v>
      </c>
      <c r="M483" s="8" t="s">
        <v>2988</v>
      </c>
      <c r="N483" s="8">
        <v>10</v>
      </c>
      <c r="O483" s="8">
        <v>35</v>
      </c>
      <c r="P483" s="8"/>
      <c r="Q483" s="5">
        <v>-78.7488869</v>
      </c>
      <c r="R483" s="5">
        <v>38.8744462</v>
      </c>
      <c r="S483" s="5" t="s">
        <v>2734</v>
      </c>
      <c r="T483" s="5" t="s">
        <v>2735</v>
      </c>
      <c r="U483" s="8"/>
      <c r="V483" s="8"/>
      <c r="W483" s="8" t="s">
        <v>2966</v>
      </c>
      <c r="X483" s="8" t="s">
        <v>2991</v>
      </c>
    </row>
    <row r="484" spans="1:24" ht="11.25">
      <c r="A484" s="5" t="s">
        <v>2736</v>
      </c>
      <c r="B484" s="5" t="s">
        <v>2737</v>
      </c>
      <c r="C484" s="6" t="s">
        <v>2738</v>
      </c>
      <c r="D484" s="6"/>
      <c r="E484" s="6"/>
      <c r="F484" s="5" t="s">
        <v>1289</v>
      </c>
      <c r="G484" s="5"/>
      <c r="H484" s="6" t="s">
        <v>2681</v>
      </c>
      <c r="I484" s="5">
        <v>405</v>
      </c>
      <c r="J484" s="5">
        <v>1329</v>
      </c>
      <c r="K484" s="7" t="str">
        <f>HYPERLINK("http://www.centcols.org/util/geo/visuGen.php?code=US-VA-0405","US-VA-0405")</f>
        <v>US-VA-0405</v>
      </c>
      <c r="L484" s="8" t="s">
        <v>215</v>
      </c>
      <c r="M484" s="8" t="s">
        <v>2739</v>
      </c>
      <c r="N484" s="8">
        <v>0</v>
      </c>
      <c r="O484" s="8">
        <v>0</v>
      </c>
      <c r="P484" s="8"/>
      <c r="Q484" s="5">
        <v>-82.688887</v>
      </c>
      <c r="R484" s="5">
        <v>36.6186132</v>
      </c>
      <c r="S484" s="5" t="s">
        <v>2740</v>
      </c>
      <c r="T484" s="5" t="s">
        <v>2741</v>
      </c>
      <c r="U484" s="8"/>
      <c r="V484" s="8"/>
      <c r="W484" s="8" t="s">
        <v>2966</v>
      </c>
      <c r="X484" s="8" t="s">
        <v>2991</v>
      </c>
    </row>
    <row r="485" spans="1:24" ht="11.25">
      <c r="A485" s="5" t="s">
        <v>2742</v>
      </c>
      <c r="B485" s="5" t="s">
        <v>2743</v>
      </c>
      <c r="C485" s="6" t="s">
        <v>2744</v>
      </c>
      <c r="D485" s="6"/>
      <c r="E485" s="6"/>
      <c r="F485" s="5" t="s">
        <v>1289</v>
      </c>
      <c r="G485" s="5"/>
      <c r="H485" s="6" t="s">
        <v>2681</v>
      </c>
      <c r="I485" s="5">
        <v>455</v>
      </c>
      <c r="J485" s="5">
        <v>1493</v>
      </c>
      <c r="K485" s="7" t="str">
        <f>HYPERLINK("http://www.centcols.org/util/geo/visuGen.php?code=US-VA-0455","US-VA-0455")</f>
        <v>US-VA-0455</v>
      </c>
      <c r="L485" s="8" t="s">
        <v>222</v>
      </c>
      <c r="M485" s="8" t="s">
        <v>2988</v>
      </c>
      <c r="N485" s="8">
        <v>10</v>
      </c>
      <c r="O485" s="8">
        <v>35</v>
      </c>
      <c r="P485" s="8"/>
      <c r="Q485" s="5">
        <v>-82.7969419</v>
      </c>
      <c r="R485" s="5">
        <v>36.597224</v>
      </c>
      <c r="S485" s="5" t="s">
        <v>2745</v>
      </c>
      <c r="T485" s="5" t="s">
        <v>2746</v>
      </c>
      <c r="U485" s="8"/>
      <c r="V485" s="8"/>
      <c r="W485" s="8" t="s">
        <v>2966</v>
      </c>
      <c r="X485" s="8" t="s">
        <v>2991</v>
      </c>
    </row>
    <row r="486" spans="1:24" ht="11.25">
      <c r="A486" s="5" t="s">
        <v>2747</v>
      </c>
      <c r="B486" s="5" t="s">
        <v>2748</v>
      </c>
      <c r="C486" s="6" t="s">
        <v>2749</v>
      </c>
      <c r="D486" s="6"/>
      <c r="E486" s="6"/>
      <c r="F486" s="5" t="s">
        <v>1289</v>
      </c>
      <c r="G486" s="5"/>
      <c r="H486" s="6" t="s">
        <v>2681</v>
      </c>
      <c r="I486" s="5">
        <v>498</v>
      </c>
      <c r="J486" s="5">
        <v>1634</v>
      </c>
      <c r="K486" s="7" t="str">
        <f>HYPERLINK("http://www.centcols.org/util/geo/visuGen.php?code=US-VA-0498","US-VA-0498")</f>
        <v>US-VA-0498</v>
      </c>
      <c r="L486" s="8" t="s">
        <v>2725</v>
      </c>
      <c r="M486" s="9" t="s">
        <v>2750</v>
      </c>
      <c r="N486" s="8">
        <v>0</v>
      </c>
      <c r="O486" s="8">
        <v>0</v>
      </c>
      <c r="P486" s="8"/>
      <c r="Q486" s="5">
        <v>-82.7744379</v>
      </c>
      <c r="R486" s="5">
        <v>36.701942</v>
      </c>
      <c r="S486" s="5" t="s">
        <v>2751</v>
      </c>
      <c r="T486" s="5" t="s">
        <v>2752</v>
      </c>
      <c r="U486" s="8"/>
      <c r="V486" s="8"/>
      <c r="W486" s="8" t="s">
        <v>2966</v>
      </c>
      <c r="X486" s="8" t="s">
        <v>2967</v>
      </c>
    </row>
    <row r="487" spans="1:24" ht="11.25">
      <c r="A487" s="5" t="s">
        <v>2753</v>
      </c>
      <c r="B487" s="5" t="s">
        <v>2754</v>
      </c>
      <c r="C487" s="6" t="s">
        <v>2755</v>
      </c>
      <c r="D487" s="6"/>
      <c r="E487" s="6"/>
      <c r="F487" s="5" t="s">
        <v>1289</v>
      </c>
      <c r="G487" s="5"/>
      <c r="H487" s="6" t="s">
        <v>2756</v>
      </c>
      <c r="I487" s="5">
        <v>673</v>
      </c>
      <c r="J487" s="5">
        <v>2208</v>
      </c>
      <c r="K487" s="7" t="str">
        <f>HYPERLINK("http://www.centcols.org/util/geo/visuGen.php?code=US-VA-0673a","US-VA-0673a")</f>
        <v>US-VA-0673a</v>
      </c>
      <c r="L487" s="8" t="s">
        <v>2757</v>
      </c>
      <c r="M487" s="8" t="s">
        <v>2988</v>
      </c>
      <c r="N487" s="8">
        <v>10</v>
      </c>
      <c r="O487" s="8">
        <v>35</v>
      </c>
      <c r="P487" s="8"/>
      <c r="Q487" s="5">
        <v>-79.8162979</v>
      </c>
      <c r="R487" s="5">
        <v>38.025132</v>
      </c>
      <c r="S487" s="5" t="s">
        <v>2758</v>
      </c>
      <c r="T487" s="5" t="s">
        <v>2759</v>
      </c>
      <c r="U487" s="8"/>
      <c r="V487" s="8"/>
      <c r="W487" s="8" t="s">
        <v>2966</v>
      </c>
      <c r="X487" s="8" t="s">
        <v>2991</v>
      </c>
    </row>
    <row r="488" spans="1:24" ht="11.25">
      <c r="A488" s="5" t="s">
        <v>2760</v>
      </c>
      <c r="B488" s="5" t="s">
        <v>2761</v>
      </c>
      <c r="C488" s="6" t="s">
        <v>2762</v>
      </c>
      <c r="D488" s="6"/>
      <c r="E488" s="6"/>
      <c r="F488" s="5" t="s">
        <v>1289</v>
      </c>
      <c r="G488" s="5" t="s">
        <v>2763</v>
      </c>
      <c r="H488" s="6" t="s">
        <v>2667</v>
      </c>
      <c r="I488" s="5">
        <v>707</v>
      </c>
      <c r="J488" s="5">
        <v>2320</v>
      </c>
      <c r="K488" s="7" t="str">
        <f>HYPERLINK("http://www.centcols.org/util/geo/visuGen.php?code=US-VA-0707a","US-VA-0707a")</f>
        <v>US-VA-0707a</v>
      </c>
      <c r="L488" s="8" t="s">
        <v>2764</v>
      </c>
      <c r="M488" s="8" t="s">
        <v>2988</v>
      </c>
      <c r="N488" s="8">
        <v>10</v>
      </c>
      <c r="O488" s="8">
        <v>35</v>
      </c>
      <c r="P488" s="8"/>
      <c r="Q488" s="5">
        <v>-78.346743</v>
      </c>
      <c r="R488" s="5">
        <v>39.4604211</v>
      </c>
      <c r="S488" s="5" t="s">
        <v>2765</v>
      </c>
      <c r="T488" s="5" t="s">
        <v>2766</v>
      </c>
      <c r="U488" s="8"/>
      <c r="V488" s="8"/>
      <c r="W488" s="8" t="s">
        <v>2966</v>
      </c>
      <c r="X488" s="8" t="s">
        <v>2967</v>
      </c>
    </row>
    <row r="489" spans="1:24" ht="11.25">
      <c r="A489" s="5" t="s">
        <v>2767</v>
      </c>
      <c r="B489" s="5" t="s">
        <v>2768</v>
      </c>
      <c r="C489" s="6" t="s">
        <v>2769</v>
      </c>
      <c r="D489" s="6"/>
      <c r="E489" s="6"/>
      <c r="F489" s="5" t="s">
        <v>1289</v>
      </c>
      <c r="G489" s="5"/>
      <c r="H489" s="6" t="s">
        <v>2770</v>
      </c>
      <c r="I489" s="5">
        <v>723</v>
      </c>
      <c r="J489" s="5">
        <v>2372</v>
      </c>
      <c r="K489" s="7" t="str">
        <f>HYPERLINK("http://www.centcols.org/util/geo/visuGen.php?code=US-VA-0723a","US-VA-0723a")</f>
        <v>US-VA-0723a</v>
      </c>
      <c r="L489" s="8" t="s">
        <v>2771</v>
      </c>
      <c r="M489" s="8" t="s">
        <v>2772</v>
      </c>
      <c r="N489" s="8">
        <v>10</v>
      </c>
      <c r="O489" s="8">
        <v>35</v>
      </c>
      <c r="P489" s="8" t="s">
        <v>3338</v>
      </c>
      <c r="Q489" s="5">
        <v>-79.4488879</v>
      </c>
      <c r="R489" s="5">
        <v>37.584722</v>
      </c>
      <c r="S489" s="5" t="s">
        <v>2773</v>
      </c>
      <c r="T489" s="5" t="s">
        <v>2774</v>
      </c>
      <c r="U489" s="8"/>
      <c r="V489" s="8" t="s">
        <v>2775</v>
      </c>
      <c r="W489" s="8" t="s">
        <v>2966</v>
      </c>
      <c r="X489" s="8" t="s">
        <v>2967</v>
      </c>
    </row>
    <row r="490" spans="1:24" ht="11.25">
      <c r="A490" s="5" t="s">
        <v>2776</v>
      </c>
      <c r="B490" s="5" t="s">
        <v>2777</v>
      </c>
      <c r="C490" s="6" t="s">
        <v>2778</v>
      </c>
      <c r="D490" s="6"/>
      <c r="E490" s="6"/>
      <c r="F490" s="5" t="s">
        <v>1289</v>
      </c>
      <c r="G490" s="5"/>
      <c r="H490" s="6" t="s">
        <v>2770</v>
      </c>
      <c r="I490" s="5">
        <v>745</v>
      </c>
      <c r="J490" s="5">
        <v>2444</v>
      </c>
      <c r="K490" s="7" t="str">
        <f>HYPERLINK("http://www.centcols.org/util/geo/visuGen.php?code=US-VA-0745","US-VA-0745")</f>
        <v>US-VA-0745</v>
      </c>
      <c r="L490" s="8" t="s">
        <v>2779</v>
      </c>
      <c r="M490" s="8" t="s">
        <v>3113</v>
      </c>
      <c r="N490" s="8">
        <v>10</v>
      </c>
      <c r="O490" s="8">
        <v>35</v>
      </c>
      <c r="P490" s="8"/>
      <c r="Q490" s="5">
        <v>-79.2917779</v>
      </c>
      <c r="R490" s="5">
        <v>37.7649021</v>
      </c>
      <c r="S490" s="5" t="s">
        <v>2780</v>
      </c>
      <c r="T490" s="5" t="s">
        <v>2781</v>
      </c>
      <c r="U490" s="8"/>
      <c r="V490" s="8" t="s">
        <v>2782</v>
      </c>
      <c r="W490" s="8" t="s">
        <v>2966</v>
      </c>
      <c r="X490" s="8" t="s">
        <v>2967</v>
      </c>
    </row>
    <row r="491" spans="1:24" ht="11.25">
      <c r="A491" s="5" t="s">
        <v>2783</v>
      </c>
      <c r="B491" s="5" t="s">
        <v>2784</v>
      </c>
      <c r="C491" s="6" t="s">
        <v>2785</v>
      </c>
      <c r="D491" s="6"/>
      <c r="E491" s="6" t="s">
        <v>2786</v>
      </c>
      <c r="F491" s="5" t="s">
        <v>1289</v>
      </c>
      <c r="G491" s="5"/>
      <c r="H491" s="6" t="s">
        <v>2787</v>
      </c>
      <c r="I491" s="5">
        <v>805</v>
      </c>
      <c r="J491" s="5">
        <v>2641</v>
      </c>
      <c r="K491" s="7" t="str">
        <f>HYPERLINK("http://www.centcols.org/util/geo/visuGen.php?code=US-VA-0805a","US-VA-0805a")</f>
        <v>US-VA-0805a</v>
      </c>
      <c r="L491" s="8" t="s">
        <v>2788</v>
      </c>
      <c r="M491" s="8" t="s">
        <v>2988</v>
      </c>
      <c r="N491" s="8">
        <v>10</v>
      </c>
      <c r="O491" s="8">
        <v>35</v>
      </c>
      <c r="P491" s="8"/>
      <c r="Q491" s="5">
        <v>-79.674738</v>
      </c>
      <c r="R491" s="5">
        <v>37.6979121</v>
      </c>
      <c r="S491" s="5" t="s">
        <v>2789</v>
      </c>
      <c r="T491" s="5" t="s">
        <v>2790</v>
      </c>
      <c r="U491" s="8"/>
      <c r="V491" s="8"/>
      <c r="W491" s="8" t="s">
        <v>2966</v>
      </c>
      <c r="X491" s="8" t="s">
        <v>2967</v>
      </c>
    </row>
    <row r="492" spans="1:24" ht="11.25">
      <c r="A492" s="5" t="s">
        <v>2791</v>
      </c>
      <c r="B492" s="5" t="s">
        <v>2792</v>
      </c>
      <c r="C492" s="6" t="s">
        <v>2793</v>
      </c>
      <c r="D492" s="6"/>
      <c r="E492" s="6"/>
      <c r="F492" s="5" t="s">
        <v>1289</v>
      </c>
      <c r="G492" s="5"/>
      <c r="H492" s="6" t="s">
        <v>2794</v>
      </c>
      <c r="I492" s="5">
        <v>875</v>
      </c>
      <c r="J492" s="5">
        <v>2871</v>
      </c>
      <c r="K492" s="7" t="str">
        <f>HYPERLINK("http://www.centcols.org/util/geo/visuGen.php?code=US-VA-0875","US-VA-0875")</f>
        <v>US-VA-0875</v>
      </c>
      <c r="L492" s="8" t="s">
        <v>2795</v>
      </c>
      <c r="M492" s="9" t="s">
        <v>2796</v>
      </c>
      <c r="N492" s="8">
        <v>0</v>
      </c>
      <c r="O492" s="8">
        <v>0</v>
      </c>
      <c r="P492" s="8"/>
      <c r="Q492" s="5">
        <v>-80.3278609</v>
      </c>
      <c r="R492" s="5">
        <v>36.7209651</v>
      </c>
      <c r="S492" s="5" t="s">
        <v>2797</v>
      </c>
      <c r="T492" s="5" t="s">
        <v>2798</v>
      </c>
      <c r="U492" s="8"/>
      <c r="V492" s="8"/>
      <c r="W492" s="8" t="s">
        <v>2966</v>
      </c>
      <c r="X492" s="8" t="s">
        <v>2967</v>
      </c>
    </row>
    <row r="493" spans="1:24" ht="11.25">
      <c r="A493" s="5" t="s">
        <v>2799</v>
      </c>
      <c r="B493" s="5" t="s">
        <v>2800</v>
      </c>
      <c r="C493" s="6" t="s">
        <v>2801</v>
      </c>
      <c r="D493" s="6"/>
      <c r="E493" s="6"/>
      <c r="F493" s="5" t="s">
        <v>1289</v>
      </c>
      <c r="G493" s="5"/>
      <c r="H493" s="6" t="s">
        <v>2802</v>
      </c>
      <c r="I493" s="5">
        <v>880</v>
      </c>
      <c r="J493" s="5">
        <v>2887</v>
      </c>
      <c r="K493" s="7" t="str">
        <f>HYPERLINK("http://www.centcols.org/util/geo/visuGen.php?code=US-VA-0880","US-VA-0880")</f>
        <v>US-VA-0880</v>
      </c>
      <c r="L493" s="8" t="s">
        <v>2803</v>
      </c>
      <c r="M493" s="8" t="s">
        <v>2988</v>
      </c>
      <c r="N493" s="8">
        <v>10</v>
      </c>
      <c r="O493" s="8">
        <v>35</v>
      </c>
      <c r="P493" s="8"/>
      <c r="Q493" s="5">
        <v>-80.6190779</v>
      </c>
      <c r="R493" s="5">
        <v>36.9629221</v>
      </c>
      <c r="S493" s="5" t="s">
        <v>2804</v>
      </c>
      <c r="T493" s="5" t="s">
        <v>2805</v>
      </c>
      <c r="U493" s="8" t="s">
        <v>3622</v>
      </c>
      <c r="V493" s="8"/>
      <c r="W493" s="8" t="s">
        <v>2966</v>
      </c>
      <c r="X493" s="8" t="s">
        <v>2967</v>
      </c>
    </row>
    <row r="494" spans="1:24" ht="11.25">
      <c r="A494" s="5" t="s">
        <v>2806</v>
      </c>
      <c r="B494" s="5" t="s">
        <v>2807</v>
      </c>
      <c r="C494" s="6" t="s">
        <v>2808</v>
      </c>
      <c r="D494" s="6"/>
      <c r="E494" s="6"/>
      <c r="F494" s="5" t="s">
        <v>1289</v>
      </c>
      <c r="G494" s="5"/>
      <c r="H494" s="6" t="s">
        <v>1915</v>
      </c>
      <c r="I494" s="5">
        <v>890</v>
      </c>
      <c r="J494" s="5">
        <v>2920</v>
      </c>
      <c r="K494" s="7" t="str">
        <f>HYPERLINK("http://www.centcols.org/util/geo/visuGen.php?code=US-VA-0890","US-VA-0890")</f>
        <v>US-VA-0890</v>
      </c>
      <c r="L494" s="8" t="s">
        <v>2809</v>
      </c>
      <c r="M494" s="8" t="s">
        <v>2473</v>
      </c>
      <c r="N494" s="8">
        <v>15</v>
      </c>
      <c r="O494" s="8">
        <v>99</v>
      </c>
      <c r="P494" s="8" t="s">
        <v>427</v>
      </c>
      <c r="Q494" s="5">
        <v>-81.7658959</v>
      </c>
      <c r="R494" s="5">
        <v>36.636621</v>
      </c>
      <c r="S494" s="5" t="s">
        <v>2810</v>
      </c>
      <c r="T494" s="5" t="s">
        <v>2811</v>
      </c>
      <c r="U494" s="8"/>
      <c r="V494" s="8" t="s">
        <v>1505</v>
      </c>
      <c r="W494" s="8" t="s">
        <v>2966</v>
      </c>
      <c r="X494" s="8" t="s">
        <v>2967</v>
      </c>
    </row>
    <row r="495" spans="1:24" ht="11.25">
      <c r="A495" s="5" t="s">
        <v>2812</v>
      </c>
      <c r="B495" s="5" t="s">
        <v>2813</v>
      </c>
      <c r="C495" s="6" t="s">
        <v>2814</v>
      </c>
      <c r="D495" s="6"/>
      <c r="E495" s="6"/>
      <c r="F495" s="5" t="s">
        <v>1289</v>
      </c>
      <c r="G495" s="5"/>
      <c r="H495" s="6" t="s">
        <v>2815</v>
      </c>
      <c r="I495" s="5">
        <v>894</v>
      </c>
      <c r="J495" s="5">
        <v>2933</v>
      </c>
      <c r="K495" s="7" t="str">
        <f>HYPERLINK("http://www.centcols.org/util/geo/visuGen.php?code=US-VA-0894","US-VA-0894")</f>
        <v>US-VA-0894</v>
      </c>
      <c r="L495" s="8" t="s">
        <v>2816</v>
      </c>
      <c r="M495" s="8" t="s">
        <v>2962</v>
      </c>
      <c r="N495" s="8">
        <v>20</v>
      </c>
      <c r="O495" s="8">
        <v>99</v>
      </c>
      <c r="P495" s="8"/>
      <c r="Q495" s="5">
        <v>-81.3461089</v>
      </c>
      <c r="R495" s="5">
        <v>37.175002</v>
      </c>
      <c r="S495" s="5" t="s">
        <v>2817</v>
      </c>
      <c r="T495" s="5" t="s">
        <v>2818</v>
      </c>
      <c r="U495" s="8"/>
      <c r="V495" s="8"/>
      <c r="W495" s="8" t="s">
        <v>2966</v>
      </c>
      <c r="X495" s="8" t="s">
        <v>2991</v>
      </c>
    </row>
    <row r="496" spans="1:24" ht="11.25">
      <c r="A496" s="5" t="s">
        <v>2819</v>
      </c>
      <c r="B496" s="5" t="s">
        <v>2820</v>
      </c>
      <c r="C496" s="6" t="s">
        <v>2821</v>
      </c>
      <c r="D496" s="6"/>
      <c r="E496" s="6"/>
      <c r="F496" s="5" t="s">
        <v>1289</v>
      </c>
      <c r="G496" s="5"/>
      <c r="H496" s="6" t="s">
        <v>2770</v>
      </c>
      <c r="I496" s="5">
        <v>969</v>
      </c>
      <c r="J496" s="5">
        <v>3179</v>
      </c>
      <c r="K496" s="7" t="str">
        <f>HYPERLINK("http://www.centcols.org/util/geo/visuGen.php?code=US-VA-0969","US-VA-0969")</f>
        <v>US-VA-0969</v>
      </c>
      <c r="L496" s="8" t="s">
        <v>2822</v>
      </c>
      <c r="M496" s="8" t="s">
        <v>3222</v>
      </c>
      <c r="N496" s="8">
        <v>15</v>
      </c>
      <c r="O496" s="8">
        <v>99</v>
      </c>
      <c r="P496" s="8" t="s">
        <v>3338</v>
      </c>
      <c r="Q496" s="5">
        <v>-79.6342039</v>
      </c>
      <c r="R496" s="5">
        <v>37.8731422</v>
      </c>
      <c r="S496" s="5" t="s">
        <v>2823</v>
      </c>
      <c r="T496" s="5" t="s">
        <v>2824</v>
      </c>
      <c r="U496" s="8"/>
      <c r="V496" s="8" t="s">
        <v>2825</v>
      </c>
      <c r="W496" s="8" t="s">
        <v>2966</v>
      </c>
      <c r="X496" s="8" t="s">
        <v>2967</v>
      </c>
    </row>
    <row r="497" spans="1:24" ht="11.25">
      <c r="A497" s="5" t="s">
        <v>2826</v>
      </c>
      <c r="B497" s="5" t="s">
        <v>2827</v>
      </c>
      <c r="C497" s="6" t="s">
        <v>2828</v>
      </c>
      <c r="D497" s="6"/>
      <c r="E497" s="6"/>
      <c r="F497" s="5" t="s">
        <v>1289</v>
      </c>
      <c r="G497" s="5"/>
      <c r="H497" s="6" t="s">
        <v>3206</v>
      </c>
      <c r="I497" s="5">
        <v>1021</v>
      </c>
      <c r="J497" s="5">
        <v>3350</v>
      </c>
      <c r="K497" s="7" t="str">
        <f>HYPERLINK("http://www.centcols.org/util/geo/visuGen.php?code=US-VA-1021","US-VA-1021")</f>
        <v>US-VA-1021</v>
      </c>
      <c r="L497" s="8" t="s">
        <v>2829</v>
      </c>
      <c r="M497" s="8" t="s">
        <v>2988</v>
      </c>
      <c r="N497" s="8">
        <v>10</v>
      </c>
      <c r="O497" s="8">
        <v>35</v>
      </c>
      <c r="P497" s="8" t="s">
        <v>3338</v>
      </c>
      <c r="Q497" s="5">
        <v>-78.421698</v>
      </c>
      <c r="R497" s="5">
        <v>38.4761021</v>
      </c>
      <c r="S497" s="5" t="s">
        <v>2830</v>
      </c>
      <c r="T497" s="5" t="s">
        <v>2831</v>
      </c>
      <c r="U497" s="8"/>
      <c r="V497" s="8" t="s">
        <v>2832</v>
      </c>
      <c r="W497" s="8" t="s">
        <v>2966</v>
      </c>
      <c r="X497" s="8" t="s">
        <v>2967</v>
      </c>
    </row>
    <row r="498" spans="1:24" ht="11.25">
      <c r="A498" s="5" t="s">
        <v>2833</v>
      </c>
      <c r="B498" s="5" t="s">
        <v>2834</v>
      </c>
      <c r="C498" s="6" t="s">
        <v>3079</v>
      </c>
      <c r="D498" s="6"/>
      <c r="E498" s="6"/>
      <c r="F498" s="5" t="s">
        <v>1289</v>
      </c>
      <c r="G498" s="5"/>
      <c r="H498" s="6" t="s">
        <v>2815</v>
      </c>
      <c r="I498" s="5">
        <v>1173</v>
      </c>
      <c r="J498" s="5">
        <v>3848</v>
      </c>
      <c r="K498" s="7" t="str">
        <f>HYPERLINK("http://www.centcols.org/util/geo/visuGen.php?code=US-VA-1173a","US-VA-1173a")</f>
        <v>US-VA-1173a</v>
      </c>
      <c r="L498" s="8" t="s">
        <v>2835</v>
      </c>
      <c r="M498" s="8"/>
      <c r="N498" s="8">
        <v>15</v>
      </c>
      <c r="O498" s="8">
        <v>99</v>
      </c>
      <c r="P498" s="8"/>
      <c r="Q498" s="5">
        <v>-81.392778</v>
      </c>
      <c r="R498" s="5">
        <v>37.113611</v>
      </c>
      <c r="S498" s="5" t="s">
        <v>2836</v>
      </c>
      <c r="T498" s="5" t="s">
        <v>2837</v>
      </c>
      <c r="U498" s="8"/>
      <c r="V498" s="8"/>
      <c r="W498" s="8" t="s">
        <v>2966</v>
      </c>
      <c r="X498" s="8" t="s">
        <v>3011</v>
      </c>
    </row>
    <row r="499" spans="1:24" ht="11.25">
      <c r="A499" s="5" t="s">
        <v>2838</v>
      </c>
      <c r="B499" s="5" t="s">
        <v>2839</v>
      </c>
      <c r="C499" s="6" t="s">
        <v>2840</v>
      </c>
      <c r="D499" s="6"/>
      <c r="E499" s="6"/>
      <c r="F499" s="5" t="s">
        <v>2841</v>
      </c>
      <c r="G499" s="5"/>
      <c r="H499" s="6" t="s">
        <v>2842</v>
      </c>
      <c r="I499" s="5">
        <v>206</v>
      </c>
      <c r="J499" s="5">
        <v>676</v>
      </c>
      <c r="K499" s="7" t="str">
        <f>HYPERLINK("http://www.centcols.org/util/geo/visuGen.php?code=US-VI-0206","US-VI-0206")</f>
        <v>US-VI-0206</v>
      </c>
      <c r="L499" s="8" t="s">
        <v>2843</v>
      </c>
      <c r="M499" s="9" t="s">
        <v>2844</v>
      </c>
      <c r="N499" s="8">
        <v>0</v>
      </c>
      <c r="O499" s="8">
        <v>0</v>
      </c>
      <c r="P499" s="8" t="s">
        <v>3338</v>
      </c>
      <c r="Q499" s="5">
        <v>-64.7324429</v>
      </c>
      <c r="R499" s="5">
        <v>18.3522932</v>
      </c>
      <c r="S499" s="5" t="s">
        <v>2845</v>
      </c>
      <c r="T499" s="5" t="s">
        <v>2846</v>
      </c>
      <c r="U499" s="8"/>
      <c r="V499" s="8" t="s">
        <v>2847</v>
      </c>
      <c r="W499" s="8" t="s">
        <v>2966</v>
      </c>
      <c r="X499" s="8" t="s">
        <v>2967</v>
      </c>
    </row>
    <row r="500" spans="1:24" ht="11.25">
      <c r="A500" s="5" t="s">
        <v>2848</v>
      </c>
      <c r="B500" s="5" t="s">
        <v>2849</v>
      </c>
      <c r="C500" s="6" t="s">
        <v>2850</v>
      </c>
      <c r="D500" s="6"/>
      <c r="E500" s="6"/>
      <c r="F500" s="5" t="s">
        <v>2851</v>
      </c>
      <c r="G500" s="5"/>
      <c r="H500" s="6" t="s">
        <v>1915</v>
      </c>
      <c r="I500" s="5">
        <v>362</v>
      </c>
      <c r="J500" s="5">
        <v>1188</v>
      </c>
      <c r="K500" s="7" t="str">
        <f>HYPERLINK("http://www.centcols.org/util/geo/visuGen.php?code=US-VT-0362","US-VT-0362")</f>
        <v>US-VT-0362</v>
      </c>
      <c r="L500" s="8" t="s">
        <v>2354</v>
      </c>
      <c r="M500" s="8" t="s">
        <v>3113</v>
      </c>
      <c r="N500" s="8">
        <v>10</v>
      </c>
      <c r="O500" s="8">
        <v>35</v>
      </c>
      <c r="P500" s="8"/>
      <c r="Q500" s="5">
        <v>-72.689278</v>
      </c>
      <c r="R500" s="5">
        <v>44.3347721</v>
      </c>
      <c r="S500" s="5" t="s">
        <v>2852</v>
      </c>
      <c r="T500" s="5" t="s">
        <v>2853</v>
      </c>
      <c r="U500" s="8"/>
      <c r="V500" s="8"/>
      <c r="W500" s="8" t="s">
        <v>2966</v>
      </c>
      <c r="X500" s="8" t="s">
        <v>2386</v>
      </c>
    </row>
    <row r="501" spans="1:24" ht="11.25">
      <c r="A501" s="5" t="s">
        <v>2854</v>
      </c>
      <c r="B501" s="5" t="s">
        <v>2855</v>
      </c>
      <c r="C501" s="6" t="s">
        <v>2856</v>
      </c>
      <c r="D501" s="6"/>
      <c r="E501" s="6"/>
      <c r="F501" s="5" t="s">
        <v>2851</v>
      </c>
      <c r="G501" s="5"/>
      <c r="H501" s="6" t="s">
        <v>2857</v>
      </c>
      <c r="I501" s="5">
        <v>368</v>
      </c>
      <c r="J501" s="5">
        <v>1207</v>
      </c>
      <c r="K501" s="7" t="str">
        <f>HYPERLINK("http://www.centcols.org/util/geo/visuGen.php?code=US-VT-0368","US-VT-0368")</f>
        <v>US-VT-0368</v>
      </c>
      <c r="L501" s="8" t="s">
        <v>2858</v>
      </c>
      <c r="M501" s="8" t="s">
        <v>3113</v>
      </c>
      <c r="N501" s="8">
        <v>10</v>
      </c>
      <c r="O501" s="8">
        <v>35</v>
      </c>
      <c r="P501" s="8"/>
      <c r="Q501" s="5">
        <v>-72.8975639</v>
      </c>
      <c r="R501" s="5">
        <v>44.4310901</v>
      </c>
      <c r="S501" s="5" t="s">
        <v>2859</v>
      </c>
      <c r="T501" s="5" t="s">
        <v>2860</v>
      </c>
      <c r="U501" s="8"/>
      <c r="V501" s="8"/>
      <c r="W501" s="8" t="s">
        <v>2966</v>
      </c>
      <c r="X501" s="8" t="s">
        <v>3085</v>
      </c>
    </row>
    <row r="502" spans="1:24" ht="11.25">
      <c r="A502" s="5" t="s">
        <v>2861</v>
      </c>
      <c r="B502" s="5" t="s">
        <v>2862</v>
      </c>
      <c r="C502" s="6" t="s">
        <v>3863</v>
      </c>
      <c r="D502" s="6"/>
      <c r="E502" s="6"/>
      <c r="F502" s="5" t="s">
        <v>2851</v>
      </c>
      <c r="G502" s="5"/>
      <c r="H502" s="6" t="s">
        <v>2863</v>
      </c>
      <c r="I502" s="5">
        <v>533</v>
      </c>
      <c r="J502" s="5">
        <v>1749</v>
      </c>
      <c r="K502" s="7" t="str">
        <f>HYPERLINK("http://www.centcols.org/util/geo/visuGen.php?code=US-VT-0533","US-VT-0533")</f>
        <v>US-VT-0533</v>
      </c>
      <c r="L502" s="8" t="s">
        <v>2864</v>
      </c>
      <c r="M502" s="8" t="s">
        <v>2988</v>
      </c>
      <c r="N502" s="8">
        <v>10</v>
      </c>
      <c r="O502" s="8">
        <v>35</v>
      </c>
      <c r="P502" s="8"/>
      <c r="Q502" s="5">
        <v>-73.012504</v>
      </c>
      <c r="R502" s="5">
        <v>44.0572421</v>
      </c>
      <c r="S502" s="5" t="s">
        <v>2865</v>
      </c>
      <c r="T502" s="5" t="s">
        <v>2866</v>
      </c>
      <c r="U502" s="8"/>
      <c r="V502" s="8"/>
      <c r="W502" s="8" t="s">
        <v>2966</v>
      </c>
      <c r="X502" s="8" t="s">
        <v>3085</v>
      </c>
    </row>
    <row r="503" spans="1:24" ht="11.25">
      <c r="A503" s="5" t="s">
        <v>2867</v>
      </c>
      <c r="B503" s="5" t="s">
        <v>2868</v>
      </c>
      <c r="C503" s="6" t="s">
        <v>2869</v>
      </c>
      <c r="D503" s="6"/>
      <c r="E503" s="6"/>
      <c r="F503" s="5" t="s">
        <v>2851</v>
      </c>
      <c r="G503" s="5"/>
      <c r="H503" s="6" t="s">
        <v>2870</v>
      </c>
      <c r="I503" s="5">
        <v>595</v>
      </c>
      <c r="J503" s="5">
        <v>1952</v>
      </c>
      <c r="K503" s="7" t="str">
        <f>HYPERLINK("http://www.centcols.org/util/geo/visuGen.php?code=US-VT-0595","US-VT-0595")</f>
        <v>US-VT-0595</v>
      </c>
      <c r="L503" s="8" t="s">
        <v>2871</v>
      </c>
      <c r="M503" s="9" t="s">
        <v>2872</v>
      </c>
      <c r="N503" s="8">
        <v>0</v>
      </c>
      <c r="O503" s="8">
        <v>0</v>
      </c>
      <c r="P503" s="8"/>
      <c r="Q503" s="5">
        <v>-72.8558549</v>
      </c>
      <c r="R503" s="5">
        <v>43.6957301</v>
      </c>
      <c r="S503" s="5" t="s">
        <v>2873</v>
      </c>
      <c r="T503" s="5" t="s">
        <v>2874</v>
      </c>
      <c r="U503" s="8"/>
      <c r="V503" s="8"/>
      <c r="W503" s="8" t="s">
        <v>2966</v>
      </c>
      <c r="X503" s="8" t="s">
        <v>2967</v>
      </c>
    </row>
    <row r="504" spans="1:24" ht="11.25">
      <c r="A504" s="5" t="s">
        <v>2875</v>
      </c>
      <c r="B504" s="5" t="s">
        <v>2876</v>
      </c>
      <c r="C504" s="6" t="s">
        <v>2877</v>
      </c>
      <c r="D504" s="6"/>
      <c r="E504" s="6"/>
      <c r="F504" s="5" t="s">
        <v>2851</v>
      </c>
      <c r="G504" s="5"/>
      <c r="H504" s="6" t="s">
        <v>2863</v>
      </c>
      <c r="I504" s="5">
        <v>619</v>
      </c>
      <c r="J504" s="5">
        <v>2031</v>
      </c>
      <c r="K504" s="7" t="str">
        <f>HYPERLINK("http://www.centcols.org/util/geo/visuGen.php?code=US-VT-0619a","US-VT-0619a")</f>
        <v>US-VT-0619a</v>
      </c>
      <c r="L504" s="8" t="s">
        <v>2878</v>
      </c>
      <c r="M504" s="8" t="s">
        <v>3113</v>
      </c>
      <c r="N504" s="8">
        <v>10</v>
      </c>
      <c r="O504" s="8">
        <v>35</v>
      </c>
      <c r="P504" s="8"/>
      <c r="Q504" s="5">
        <v>-72.9663279</v>
      </c>
      <c r="R504" s="5">
        <v>44.016132</v>
      </c>
      <c r="S504" s="5" t="s">
        <v>2879</v>
      </c>
      <c r="T504" s="5" t="s">
        <v>2880</v>
      </c>
      <c r="U504" s="8"/>
      <c r="V504" s="8"/>
      <c r="W504" s="8" t="s">
        <v>2966</v>
      </c>
      <c r="X504" s="8" t="s">
        <v>2967</v>
      </c>
    </row>
    <row r="505" spans="1:24" ht="11.25">
      <c r="A505" s="5" t="s">
        <v>2881</v>
      </c>
      <c r="B505" s="5" t="s">
        <v>2882</v>
      </c>
      <c r="C505" s="6" t="s">
        <v>2361</v>
      </c>
      <c r="D505" s="6"/>
      <c r="E505" s="6"/>
      <c r="F505" s="5" t="s">
        <v>2851</v>
      </c>
      <c r="G505" s="5"/>
      <c r="H505" s="6" t="s">
        <v>2870</v>
      </c>
      <c r="I505" s="5">
        <v>650</v>
      </c>
      <c r="J505" s="5">
        <v>2133</v>
      </c>
      <c r="K505" s="7" t="str">
        <f>HYPERLINK("http://www.centcols.org/util/geo/visuGen.php?code=US-VT-0650","US-VT-0650")</f>
        <v>US-VT-0650</v>
      </c>
      <c r="L505" s="8" t="s">
        <v>2883</v>
      </c>
      <c r="M505" s="8" t="s">
        <v>3113</v>
      </c>
      <c r="N505" s="8">
        <v>10</v>
      </c>
      <c r="O505" s="8">
        <v>35</v>
      </c>
      <c r="P505" s="8"/>
      <c r="Q505" s="5">
        <v>-72.885489</v>
      </c>
      <c r="R505" s="5">
        <v>43.3464111</v>
      </c>
      <c r="S505" s="5" t="s">
        <v>2884</v>
      </c>
      <c r="T505" s="5" t="s">
        <v>2885</v>
      </c>
      <c r="U505" s="8"/>
      <c r="V505" s="8"/>
      <c r="W505" s="8" t="s">
        <v>2966</v>
      </c>
      <c r="X505" s="8" t="s">
        <v>2967</v>
      </c>
    </row>
    <row r="506" spans="1:24" ht="11.25">
      <c r="A506" s="5" t="s">
        <v>2886</v>
      </c>
      <c r="B506" s="5" t="s">
        <v>2887</v>
      </c>
      <c r="C506" s="6" t="s">
        <v>2888</v>
      </c>
      <c r="D506" s="6"/>
      <c r="E506" s="6"/>
      <c r="F506" s="5" t="s">
        <v>2851</v>
      </c>
      <c r="G506" s="5"/>
      <c r="H506" s="6" t="s">
        <v>2857</v>
      </c>
      <c r="I506" s="5">
        <v>811</v>
      </c>
      <c r="J506" s="5">
        <v>2661</v>
      </c>
      <c r="K506" s="7" t="str">
        <f>HYPERLINK("http://www.centcols.org/util/geo/visuGen.php?code=US-VT-0811","US-VT-0811")</f>
        <v>US-VT-0811</v>
      </c>
      <c r="L506" s="8" t="s">
        <v>2889</v>
      </c>
      <c r="M506" s="8" t="s">
        <v>2890</v>
      </c>
      <c r="N506" s="8">
        <v>15</v>
      </c>
      <c r="O506" s="8">
        <v>99</v>
      </c>
      <c r="P506" s="8"/>
      <c r="Q506" s="5">
        <v>-72.8224379</v>
      </c>
      <c r="R506" s="5">
        <v>44.5065222</v>
      </c>
      <c r="S506" s="5" t="s">
        <v>2891</v>
      </c>
      <c r="T506" s="5" t="s">
        <v>2892</v>
      </c>
      <c r="U506" s="8"/>
      <c r="V506" s="8"/>
      <c r="W506" s="8" t="s">
        <v>2966</v>
      </c>
      <c r="X506" s="8" t="s">
        <v>2967</v>
      </c>
    </row>
    <row r="507" spans="1:24" ht="11.25">
      <c r="A507" s="5" t="s">
        <v>2893</v>
      </c>
      <c r="B507" s="5" t="s">
        <v>2894</v>
      </c>
      <c r="C507" s="6" t="s">
        <v>2895</v>
      </c>
      <c r="D507" s="6"/>
      <c r="E507" s="6"/>
      <c r="F507" s="5" t="s">
        <v>2896</v>
      </c>
      <c r="G507" s="5"/>
      <c r="H507" s="6" t="s">
        <v>535</v>
      </c>
      <c r="I507" s="5">
        <v>848</v>
      </c>
      <c r="J507" s="5">
        <v>2782</v>
      </c>
      <c r="K507" s="7" t="str">
        <f>HYPERLINK("http://www.centcols.org/util/geo/visuGen.php?code=US-WA-0848","US-WA-0848")</f>
        <v>US-WA-0848</v>
      </c>
      <c r="L507" s="8" t="s">
        <v>2897</v>
      </c>
      <c r="M507" s="9" t="s">
        <v>2898</v>
      </c>
      <c r="N507" s="8">
        <v>0</v>
      </c>
      <c r="O507" s="8">
        <v>0</v>
      </c>
      <c r="P507" s="8"/>
      <c r="Q507" s="5">
        <v>-117.4249079</v>
      </c>
      <c r="R507" s="5">
        <v>46.4359221</v>
      </c>
      <c r="S507" s="5" t="s">
        <v>2899</v>
      </c>
      <c r="T507" s="5" t="s">
        <v>2900</v>
      </c>
      <c r="U507" s="8"/>
      <c r="V507" s="8"/>
      <c r="W507" s="8" t="s">
        <v>2966</v>
      </c>
      <c r="X507" s="8" t="s">
        <v>2901</v>
      </c>
    </row>
    <row r="508" spans="1:24" ht="11.25">
      <c r="A508" s="5" t="s">
        <v>2902</v>
      </c>
      <c r="B508" s="5" t="s">
        <v>2903</v>
      </c>
      <c r="C508" s="6" t="s">
        <v>2904</v>
      </c>
      <c r="D508" s="6"/>
      <c r="E508" s="6"/>
      <c r="F508" s="5" t="s">
        <v>2896</v>
      </c>
      <c r="G508" s="5"/>
      <c r="H508" s="6" t="s">
        <v>2905</v>
      </c>
      <c r="I508" s="5">
        <v>911</v>
      </c>
      <c r="J508" s="5">
        <v>2989</v>
      </c>
      <c r="K508" s="7" t="str">
        <f>HYPERLINK("http://www.centcols.org/util/geo/visuGen.php?code=US-WA-0911","US-WA-0911")</f>
        <v>US-WA-0911</v>
      </c>
      <c r="L508" s="8" t="s">
        <v>2906</v>
      </c>
      <c r="M508" s="9" t="s">
        <v>2907</v>
      </c>
      <c r="N508" s="8">
        <v>0</v>
      </c>
      <c r="O508" s="8">
        <v>0</v>
      </c>
      <c r="P508" s="8"/>
      <c r="Q508" s="5">
        <v>-117.1353289</v>
      </c>
      <c r="R508" s="5">
        <v>47.9966521</v>
      </c>
      <c r="S508" s="5" t="s">
        <v>2908</v>
      </c>
      <c r="T508" s="5" t="s">
        <v>2909</v>
      </c>
      <c r="U508" s="8"/>
      <c r="V508" s="8"/>
      <c r="W508" s="8" t="s">
        <v>2966</v>
      </c>
      <c r="X508" s="8" t="s">
        <v>2967</v>
      </c>
    </row>
    <row r="509" spans="1:24" ht="11.25">
      <c r="A509" s="5" t="s">
        <v>2910</v>
      </c>
      <c r="B509" s="5" t="s">
        <v>2911</v>
      </c>
      <c r="C509" s="6" t="s">
        <v>2912</v>
      </c>
      <c r="D509" s="6"/>
      <c r="E509" s="6" t="s">
        <v>2913</v>
      </c>
      <c r="F509" s="5" t="s">
        <v>2896</v>
      </c>
      <c r="G509" s="5"/>
      <c r="H509" s="6" t="s">
        <v>2914</v>
      </c>
      <c r="I509" s="5">
        <v>1241</v>
      </c>
      <c r="J509" s="5">
        <v>4071</v>
      </c>
      <c r="K509" s="7" t="str">
        <f>HYPERLINK("http://www.centcols.org/util/geo/visuGen.php?code=US-WA-1241a","US-WA-1241a")</f>
        <v>US-WA-1241a</v>
      </c>
      <c r="L509" s="8" t="s">
        <v>2915</v>
      </c>
      <c r="M509" s="8"/>
      <c r="N509" s="8">
        <v>10</v>
      </c>
      <c r="O509" s="8">
        <v>35</v>
      </c>
      <c r="P509" s="8"/>
      <c r="Q509" s="5">
        <v>-120.672222</v>
      </c>
      <c r="R509" s="5">
        <v>47.348333</v>
      </c>
      <c r="S509" s="5" t="s">
        <v>2916</v>
      </c>
      <c r="T509" s="5" t="s">
        <v>2917</v>
      </c>
      <c r="U509" s="8"/>
      <c r="V509" s="8"/>
      <c r="W509" s="8" t="s">
        <v>2966</v>
      </c>
      <c r="X509" s="8" t="s">
        <v>3011</v>
      </c>
    </row>
    <row r="510" spans="1:24" ht="11.25">
      <c r="A510" s="5" t="s">
        <v>2918</v>
      </c>
      <c r="B510" s="5" t="s">
        <v>2919</v>
      </c>
      <c r="C510" s="6" t="s">
        <v>2920</v>
      </c>
      <c r="D510" s="6"/>
      <c r="E510" s="6"/>
      <c r="F510" s="5" t="s">
        <v>2896</v>
      </c>
      <c r="G510" s="5"/>
      <c r="H510" s="6" t="s">
        <v>2921</v>
      </c>
      <c r="I510" s="5">
        <v>1641</v>
      </c>
      <c r="J510" s="5">
        <v>5384</v>
      </c>
      <c r="K510" s="7" t="str">
        <f>HYPERLINK("http://www.centcols.org/util/geo/visuGen.php?code=US-WA-1641","US-WA-1641")</f>
        <v>US-WA-1641</v>
      </c>
      <c r="L510" s="8" t="s">
        <v>2922</v>
      </c>
      <c r="M510" s="8" t="s">
        <v>3113</v>
      </c>
      <c r="N510" s="8">
        <v>10</v>
      </c>
      <c r="O510" s="8">
        <v>35</v>
      </c>
      <c r="P510" s="8"/>
      <c r="Q510" s="5">
        <v>-120.277628</v>
      </c>
      <c r="R510" s="5">
        <v>47.1993531</v>
      </c>
      <c r="S510" s="5" t="s">
        <v>2923</v>
      </c>
      <c r="T510" s="5" t="s">
        <v>2924</v>
      </c>
      <c r="U510" s="8"/>
      <c r="V510" s="8"/>
      <c r="W510" s="8" t="s">
        <v>2966</v>
      </c>
      <c r="X510" s="8" t="s">
        <v>3202</v>
      </c>
    </row>
    <row r="511" spans="1:24" ht="11.25">
      <c r="A511" s="5" t="s">
        <v>2925</v>
      </c>
      <c r="B511" s="5" t="s">
        <v>2926</v>
      </c>
      <c r="C511" s="6" t="s">
        <v>2927</v>
      </c>
      <c r="D511" s="6"/>
      <c r="E511" s="6"/>
      <c r="F511" s="5" t="s">
        <v>2896</v>
      </c>
      <c r="G511" s="5"/>
      <c r="H511" s="6" t="s">
        <v>2914</v>
      </c>
      <c r="I511" s="5">
        <v>2009</v>
      </c>
      <c r="J511" s="5">
        <v>6591</v>
      </c>
      <c r="K511" s="7" t="str">
        <f>HYPERLINK("http://www.centcols.org/util/geo/visuGen.php?code=US-WA-2009a","US-WA-2009a")</f>
        <v>US-WA-2009a</v>
      </c>
      <c r="L511" s="8" t="s">
        <v>2928</v>
      </c>
      <c r="M511" s="8" t="s">
        <v>2988</v>
      </c>
      <c r="N511" s="8">
        <v>10</v>
      </c>
      <c r="O511" s="8">
        <v>35</v>
      </c>
      <c r="P511" s="8"/>
      <c r="Q511" s="5">
        <v>-120.2910449</v>
      </c>
      <c r="R511" s="5">
        <v>48.119742</v>
      </c>
      <c r="S511" s="5" t="s">
        <v>2929</v>
      </c>
      <c r="T511" s="5" t="s">
        <v>2930</v>
      </c>
      <c r="U511" s="8"/>
      <c r="V511" s="8"/>
      <c r="W511" s="8" t="s">
        <v>2966</v>
      </c>
      <c r="X511" s="8" t="s">
        <v>2967</v>
      </c>
    </row>
    <row r="512" spans="1:24" ht="11.25">
      <c r="A512" s="5" t="s">
        <v>2931</v>
      </c>
      <c r="B512" s="5" t="s">
        <v>2932</v>
      </c>
      <c r="C512" s="6" t="s">
        <v>2933</v>
      </c>
      <c r="D512" s="6"/>
      <c r="E512" s="6"/>
      <c r="F512" s="5" t="s">
        <v>2896</v>
      </c>
      <c r="G512" s="5"/>
      <c r="H512" s="6" t="s">
        <v>2914</v>
      </c>
      <c r="I512" s="5">
        <v>2166</v>
      </c>
      <c r="J512" s="5">
        <v>7106</v>
      </c>
      <c r="K512" s="7" t="str">
        <f>HYPERLINK("http://www.centcols.org/util/geo/visuGen.php?code=US-WA-2166","US-WA-2166")</f>
        <v>US-WA-2166</v>
      </c>
      <c r="L512" s="8" t="s">
        <v>2934</v>
      </c>
      <c r="M512" s="8" t="s">
        <v>2962</v>
      </c>
      <c r="N512" s="8">
        <v>20</v>
      </c>
      <c r="O512" s="8">
        <v>99</v>
      </c>
      <c r="P512" s="8" t="s">
        <v>3338</v>
      </c>
      <c r="Q512" s="5">
        <v>-120.7995099</v>
      </c>
      <c r="R512" s="5">
        <v>47.475926</v>
      </c>
      <c r="S512" s="5" t="s">
        <v>2935</v>
      </c>
      <c r="T512" s="5" t="s">
        <v>2936</v>
      </c>
      <c r="U512" s="8"/>
      <c r="V512" s="8" t="s">
        <v>2937</v>
      </c>
      <c r="W512" s="8" t="s">
        <v>2966</v>
      </c>
      <c r="X512" s="8" t="s">
        <v>2548</v>
      </c>
    </row>
    <row r="513" spans="1:24" ht="11.25">
      <c r="A513" s="5" t="s">
        <v>2938</v>
      </c>
      <c r="B513" s="5" t="s">
        <v>2939</v>
      </c>
      <c r="C513" s="6" t="s">
        <v>2940</v>
      </c>
      <c r="D513" s="6"/>
      <c r="E513" s="6"/>
      <c r="F513" s="5" t="s">
        <v>2896</v>
      </c>
      <c r="G513" s="5"/>
      <c r="H513" s="6" t="s">
        <v>2914</v>
      </c>
      <c r="I513" s="5">
        <v>2293</v>
      </c>
      <c r="J513" s="5">
        <v>7523</v>
      </c>
      <c r="K513" s="7" t="str">
        <f>HYPERLINK("http://www.centcols.org/util/geo/visuGen.php?code=US-WA-2293","US-WA-2293")</f>
        <v>US-WA-2293</v>
      </c>
      <c r="L513" s="8" t="s">
        <v>2941</v>
      </c>
      <c r="M513" s="8" t="s">
        <v>2962</v>
      </c>
      <c r="N513" s="8">
        <v>20</v>
      </c>
      <c r="O513" s="8">
        <v>99</v>
      </c>
      <c r="P513" s="8" t="s">
        <v>3338</v>
      </c>
      <c r="Q513" s="5">
        <v>-120.5593739</v>
      </c>
      <c r="R513" s="5">
        <v>48.285298</v>
      </c>
      <c r="S513" s="5" t="s">
        <v>2942</v>
      </c>
      <c r="T513" s="5" t="s">
        <v>2943</v>
      </c>
      <c r="U513" s="8" t="s">
        <v>3622</v>
      </c>
      <c r="V513" s="8" t="s">
        <v>2944</v>
      </c>
      <c r="W513" s="8" t="s">
        <v>2966</v>
      </c>
      <c r="X513" s="8" t="s">
        <v>2967</v>
      </c>
    </row>
    <row r="514" spans="1:24" ht="11.25">
      <c r="A514" s="5" t="s">
        <v>2945</v>
      </c>
      <c r="B514" s="5" t="s">
        <v>2946</v>
      </c>
      <c r="C514" s="6" t="s">
        <v>2947</v>
      </c>
      <c r="D514" s="6"/>
      <c r="E514" s="6"/>
      <c r="F514" s="5" t="s">
        <v>2948</v>
      </c>
      <c r="G514" s="5"/>
      <c r="H514" s="6" t="s">
        <v>1710</v>
      </c>
      <c r="I514" s="5">
        <v>224</v>
      </c>
      <c r="J514" s="5">
        <v>735</v>
      </c>
      <c r="K514" s="7" t="str">
        <f>HYPERLINK("http://www.centcols.org/util/geo/visuGen.php?code=US-WI-0224","US-WI-0224")</f>
        <v>US-WI-0224</v>
      </c>
      <c r="L514" s="8" t="s">
        <v>2949</v>
      </c>
      <c r="M514" s="9" t="s">
        <v>2950</v>
      </c>
      <c r="N514" s="8">
        <v>0</v>
      </c>
      <c r="O514" s="8">
        <v>0</v>
      </c>
      <c r="P514" s="8"/>
      <c r="Q514" s="5">
        <v>-90.657158</v>
      </c>
      <c r="R514" s="5">
        <v>42.6100721</v>
      </c>
      <c r="S514" s="5" t="s">
        <v>2951</v>
      </c>
      <c r="T514" s="5" t="s">
        <v>2952</v>
      </c>
      <c r="U514" s="8"/>
      <c r="V514" s="8"/>
      <c r="W514" s="8" t="s">
        <v>2966</v>
      </c>
      <c r="X514" s="8" t="s">
        <v>2991</v>
      </c>
    </row>
    <row r="515" spans="1:24" ht="11.25">
      <c r="A515" s="5" t="s">
        <v>2953</v>
      </c>
      <c r="B515" s="5" t="s">
        <v>2954</v>
      </c>
      <c r="C515" s="6" t="s">
        <v>2955</v>
      </c>
      <c r="D515" s="6"/>
      <c r="E515" s="6"/>
      <c r="F515" s="5" t="s">
        <v>2763</v>
      </c>
      <c r="G515" s="5"/>
      <c r="H515" s="6" t="s">
        <v>1710</v>
      </c>
      <c r="I515" s="5">
        <v>349</v>
      </c>
      <c r="J515" s="5">
        <v>1145</v>
      </c>
      <c r="K515" s="7" t="str">
        <f>HYPERLINK("http://www.centcols.org/util/geo/visuGen.php?code=US-WV-0349a","US-WV-0349a")</f>
        <v>US-WV-0349a</v>
      </c>
      <c r="L515" s="8" t="s">
        <v>726</v>
      </c>
      <c r="M515" s="8" t="s">
        <v>2988</v>
      </c>
      <c r="N515" s="8">
        <v>10</v>
      </c>
      <c r="O515" s="8">
        <v>35</v>
      </c>
      <c r="P515" s="8"/>
      <c r="Q515" s="5">
        <v>-79.2324979</v>
      </c>
      <c r="R515" s="5">
        <v>38.947224</v>
      </c>
      <c r="S515" s="5" t="s">
        <v>727</v>
      </c>
      <c r="T515" s="5" t="s">
        <v>728</v>
      </c>
      <c r="U515" s="8"/>
      <c r="V515" s="8"/>
      <c r="W515" s="8" t="s">
        <v>2966</v>
      </c>
      <c r="X515" s="8" t="s">
        <v>2991</v>
      </c>
    </row>
    <row r="516" spans="1:24" ht="11.25">
      <c r="A516" s="5" t="s">
        <v>729</v>
      </c>
      <c r="B516" s="5" t="s">
        <v>730</v>
      </c>
      <c r="C516" s="6" t="s">
        <v>731</v>
      </c>
      <c r="D516" s="6"/>
      <c r="E516" s="6"/>
      <c r="F516" s="5" t="s">
        <v>2763</v>
      </c>
      <c r="G516" s="5"/>
      <c r="H516" s="6" t="s">
        <v>1710</v>
      </c>
      <c r="I516" s="5">
        <v>358</v>
      </c>
      <c r="J516" s="5">
        <v>1175</v>
      </c>
      <c r="K516" s="7" t="str">
        <f>HYPERLINK("http://www.centcols.org/util/geo/visuGen.php?code=US-WV-0358","US-WV-0358")</f>
        <v>US-WV-0358</v>
      </c>
      <c r="L516" s="8" t="s">
        <v>726</v>
      </c>
      <c r="M516" s="8" t="s">
        <v>3222</v>
      </c>
      <c r="N516" s="8">
        <v>15</v>
      </c>
      <c r="O516" s="8">
        <v>99</v>
      </c>
      <c r="P516" s="8"/>
      <c r="Q516" s="5">
        <v>-79.198346</v>
      </c>
      <c r="R516" s="5">
        <v>38.984643</v>
      </c>
      <c r="S516" s="5" t="s">
        <v>732</v>
      </c>
      <c r="T516" s="5" t="s">
        <v>733</v>
      </c>
      <c r="U516" s="8"/>
      <c r="V516" s="8"/>
      <c r="W516" s="8" t="s">
        <v>2966</v>
      </c>
      <c r="X516" s="8" t="s">
        <v>3125</v>
      </c>
    </row>
    <row r="517" spans="1:24" ht="11.25">
      <c r="A517" s="5" t="s">
        <v>734</v>
      </c>
      <c r="B517" s="5" t="s">
        <v>735</v>
      </c>
      <c r="C517" s="6" t="s">
        <v>736</v>
      </c>
      <c r="D517" s="6"/>
      <c r="E517" s="6" t="s">
        <v>737</v>
      </c>
      <c r="F517" s="5" t="s">
        <v>2763</v>
      </c>
      <c r="G517" s="5"/>
      <c r="H517" s="6" t="s">
        <v>738</v>
      </c>
      <c r="I517" s="5">
        <v>946</v>
      </c>
      <c r="J517" s="5">
        <v>3104</v>
      </c>
      <c r="K517" s="7" t="str">
        <f>HYPERLINK("http://www.centcols.org/util/geo/visuGen.php?code=US-WV-0946","US-WV-0946")</f>
        <v>US-WV-0946</v>
      </c>
      <c r="L517" s="8" t="s">
        <v>739</v>
      </c>
      <c r="M517" s="8" t="s">
        <v>3113</v>
      </c>
      <c r="N517" s="8">
        <v>10</v>
      </c>
      <c r="O517" s="8">
        <v>35</v>
      </c>
      <c r="P517" s="8"/>
      <c r="Q517" s="5">
        <v>-80.6145879</v>
      </c>
      <c r="R517" s="5">
        <v>38.1587421</v>
      </c>
      <c r="S517" s="5" t="s">
        <v>740</v>
      </c>
      <c r="T517" s="5" t="s">
        <v>741</v>
      </c>
      <c r="U517" s="8"/>
      <c r="V517" s="8"/>
      <c r="W517" s="8" t="s">
        <v>2966</v>
      </c>
      <c r="X517" s="8" t="s">
        <v>2967</v>
      </c>
    </row>
    <row r="518" spans="1:24" ht="11.25">
      <c r="A518" s="5" t="s">
        <v>742</v>
      </c>
      <c r="B518" s="5" t="s">
        <v>743</v>
      </c>
      <c r="C518" s="6" t="s">
        <v>744</v>
      </c>
      <c r="D518" s="6"/>
      <c r="E518" s="6"/>
      <c r="F518" s="5" t="s">
        <v>2763</v>
      </c>
      <c r="G518" s="5"/>
      <c r="H518" s="6" t="s">
        <v>745</v>
      </c>
      <c r="I518" s="5">
        <v>987</v>
      </c>
      <c r="J518" s="5">
        <v>3238</v>
      </c>
      <c r="K518" s="7" t="str">
        <f>HYPERLINK("http://www.centcols.org/util/geo/visuGen.php?code=US-WV-0987","US-WV-0987")</f>
        <v>US-WV-0987</v>
      </c>
      <c r="L518" s="8" t="s">
        <v>746</v>
      </c>
      <c r="M518" s="9"/>
      <c r="N518" s="8">
        <v>20</v>
      </c>
      <c r="O518" s="8">
        <v>99</v>
      </c>
      <c r="P518" s="8"/>
      <c r="Q518" s="5">
        <v>-80.944166</v>
      </c>
      <c r="R518" s="5">
        <v>37.2966677</v>
      </c>
      <c r="S518" s="5" t="s">
        <v>747</v>
      </c>
      <c r="T518" s="5" t="s">
        <v>748</v>
      </c>
      <c r="U518" s="8"/>
      <c r="V518" s="8"/>
      <c r="W518" s="8" t="s">
        <v>2966</v>
      </c>
      <c r="X518" s="8" t="s">
        <v>3011</v>
      </c>
    </row>
    <row r="519" spans="1:24" ht="11.25">
      <c r="A519" s="5" t="s">
        <v>749</v>
      </c>
      <c r="B519" s="5" t="s">
        <v>750</v>
      </c>
      <c r="C519" s="6" t="s">
        <v>751</v>
      </c>
      <c r="D519" s="6"/>
      <c r="E519" s="6"/>
      <c r="F519" s="5" t="s">
        <v>2763</v>
      </c>
      <c r="G519" s="5"/>
      <c r="H519" s="6" t="s">
        <v>752</v>
      </c>
      <c r="I519" s="5">
        <v>1015</v>
      </c>
      <c r="J519" s="5">
        <v>3330</v>
      </c>
      <c r="K519" s="7" t="str">
        <f>HYPERLINK("http://www.centcols.org/util/geo/visuGen.php?code=US-WV-1015","US-WV-1015")</f>
        <v>US-WV-1015</v>
      </c>
      <c r="L519" s="8" t="s">
        <v>753</v>
      </c>
      <c r="M519" s="8" t="s">
        <v>2988</v>
      </c>
      <c r="N519" s="8">
        <v>10</v>
      </c>
      <c r="O519" s="8">
        <v>35</v>
      </c>
      <c r="P519" s="8"/>
      <c r="Q519" s="5">
        <v>-79.570583</v>
      </c>
      <c r="R519" s="5">
        <v>38.796827</v>
      </c>
      <c r="S519" s="5" t="s">
        <v>754</v>
      </c>
      <c r="T519" s="5" t="s">
        <v>755</v>
      </c>
      <c r="U519" s="8"/>
      <c r="V519" s="8"/>
      <c r="W519" s="8" t="s">
        <v>2966</v>
      </c>
      <c r="X519" s="8" t="s">
        <v>2967</v>
      </c>
    </row>
    <row r="520" spans="1:24" ht="11.25">
      <c r="A520" s="5" t="s">
        <v>756</v>
      </c>
      <c r="B520" s="5" t="s">
        <v>757</v>
      </c>
      <c r="C520" s="6" t="s">
        <v>3205</v>
      </c>
      <c r="D520" s="6"/>
      <c r="E520" s="6"/>
      <c r="F520" s="5" t="s">
        <v>2763</v>
      </c>
      <c r="G520" s="5"/>
      <c r="H520" s="6" t="s">
        <v>287</v>
      </c>
      <c r="I520" s="5">
        <v>1099</v>
      </c>
      <c r="J520" s="5">
        <v>3606</v>
      </c>
      <c r="K520" s="7" t="str">
        <f>HYPERLINK("http://www.centcols.org/util/geo/visuGen.php?code=US-WV-1099","US-WV-1099")</f>
        <v>US-WV-1099</v>
      </c>
      <c r="L520" s="8" t="s">
        <v>758</v>
      </c>
      <c r="M520" s="8" t="s">
        <v>2962</v>
      </c>
      <c r="N520" s="8">
        <v>20</v>
      </c>
      <c r="O520" s="8">
        <v>99</v>
      </c>
      <c r="P520" s="8"/>
      <c r="Q520" s="5">
        <v>-80.4778909</v>
      </c>
      <c r="R520" s="5">
        <v>37.4682361</v>
      </c>
      <c r="S520" s="5" t="s">
        <v>759</v>
      </c>
      <c r="T520" s="5" t="s">
        <v>760</v>
      </c>
      <c r="U520" s="8"/>
      <c r="V520" s="8"/>
      <c r="W520" s="8" t="s">
        <v>2966</v>
      </c>
      <c r="X520" s="8" t="s">
        <v>2967</v>
      </c>
    </row>
    <row r="521" spans="1:24" ht="11.25">
      <c r="A521" s="5" t="s">
        <v>761</v>
      </c>
      <c r="B521" s="5" t="s">
        <v>762</v>
      </c>
      <c r="C521" s="6" t="s">
        <v>763</v>
      </c>
      <c r="D521" s="6"/>
      <c r="E521" s="6"/>
      <c r="F521" s="5" t="s">
        <v>2763</v>
      </c>
      <c r="G521" s="5"/>
      <c r="H521" s="6" t="s">
        <v>752</v>
      </c>
      <c r="I521" s="5">
        <v>1134</v>
      </c>
      <c r="J521" s="5">
        <v>3720</v>
      </c>
      <c r="K521" s="7" t="str">
        <f>HYPERLINK("http://www.centcols.org/util/geo/visuGen.php?code=US-WV-1134","US-WV-1134")</f>
        <v>US-WV-1134</v>
      </c>
      <c r="L521" s="8" t="s">
        <v>753</v>
      </c>
      <c r="M521" s="8" t="s">
        <v>3222</v>
      </c>
      <c r="N521" s="8">
        <v>15</v>
      </c>
      <c r="O521" s="8">
        <v>99</v>
      </c>
      <c r="P521" s="8"/>
      <c r="Q521" s="5">
        <v>-79.6034179</v>
      </c>
      <c r="R521" s="5">
        <v>38.757733</v>
      </c>
      <c r="S521" s="5" t="s">
        <v>764</v>
      </c>
      <c r="T521" s="5" t="s">
        <v>765</v>
      </c>
      <c r="U521" s="8"/>
      <c r="V521" s="8"/>
      <c r="W521" s="8" t="s">
        <v>2966</v>
      </c>
      <c r="X521" s="8" t="s">
        <v>2967</v>
      </c>
    </row>
    <row r="522" spans="1:24" ht="11.25">
      <c r="A522" s="5" t="s">
        <v>766</v>
      </c>
      <c r="B522" s="5" t="s">
        <v>767</v>
      </c>
      <c r="C522" s="6" t="s">
        <v>768</v>
      </c>
      <c r="D522" s="6"/>
      <c r="E522" s="6"/>
      <c r="F522" s="5" t="s">
        <v>2763</v>
      </c>
      <c r="G522" s="5"/>
      <c r="H522" s="6" t="s">
        <v>752</v>
      </c>
      <c r="I522" s="5">
        <v>1159</v>
      </c>
      <c r="J522" s="5">
        <v>3802</v>
      </c>
      <c r="K522" s="7" t="str">
        <f>HYPERLINK("http://www.centcols.org/util/geo/visuGen.php?code=US-WV-1159","US-WV-1159")</f>
        <v>US-WV-1159</v>
      </c>
      <c r="L522" s="8" t="s">
        <v>769</v>
      </c>
      <c r="M522" s="9" t="s">
        <v>770</v>
      </c>
      <c r="N522" s="8">
        <v>0</v>
      </c>
      <c r="O522" s="8">
        <v>0</v>
      </c>
      <c r="P522" s="8"/>
      <c r="Q522" s="5">
        <v>-79.924678</v>
      </c>
      <c r="R522" s="5">
        <v>38.6306521</v>
      </c>
      <c r="S522" s="5" t="s">
        <v>771</v>
      </c>
      <c r="T522" s="5" t="s">
        <v>772</v>
      </c>
      <c r="U522" s="8"/>
      <c r="V522" s="8"/>
      <c r="W522" s="8" t="s">
        <v>2966</v>
      </c>
      <c r="X522" s="8" t="s">
        <v>2967</v>
      </c>
    </row>
    <row r="523" spans="1:24" ht="11.25">
      <c r="A523" s="5" t="s">
        <v>773</v>
      </c>
      <c r="B523" s="5" t="s">
        <v>774</v>
      </c>
      <c r="C523" s="6" t="s">
        <v>775</v>
      </c>
      <c r="D523" s="6"/>
      <c r="E523" s="6"/>
      <c r="F523" s="5" t="s">
        <v>776</v>
      </c>
      <c r="G523" s="5"/>
      <c r="H523" s="6" t="s">
        <v>777</v>
      </c>
      <c r="I523" s="5">
        <v>1115</v>
      </c>
      <c r="J523" s="5">
        <v>3658</v>
      </c>
      <c r="K523" s="7" t="str">
        <f>HYPERLINK("http://www.centcols.org/util/geo/visuGen.php?code=US-WY-1115","US-WY-1115")</f>
        <v>US-WY-1115</v>
      </c>
      <c r="L523" s="8" t="s">
        <v>778</v>
      </c>
      <c r="M523" s="8" t="s">
        <v>2988</v>
      </c>
      <c r="N523" s="8">
        <v>10</v>
      </c>
      <c r="O523" s="8">
        <v>35</v>
      </c>
      <c r="P523" s="8"/>
      <c r="Q523" s="5">
        <v>-104.0962479</v>
      </c>
      <c r="R523" s="5">
        <v>44.6998521</v>
      </c>
      <c r="S523" s="5" t="s">
        <v>779</v>
      </c>
      <c r="T523" s="5" t="s">
        <v>780</v>
      </c>
      <c r="U523" s="8"/>
      <c r="V523" s="8"/>
      <c r="W523" s="8" t="s">
        <v>2966</v>
      </c>
      <c r="X523" s="8" t="s">
        <v>781</v>
      </c>
    </row>
    <row r="524" spans="1:24" ht="11.25">
      <c r="A524" s="5" t="s">
        <v>782</v>
      </c>
      <c r="B524" s="5" t="s">
        <v>783</v>
      </c>
      <c r="C524" s="6" t="s">
        <v>784</v>
      </c>
      <c r="D524" s="6"/>
      <c r="E524" s="6"/>
      <c r="F524" s="5" t="s">
        <v>776</v>
      </c>
      <c r="G524" s="5"/>
      <c r="H524" s="6" t="s">
        <v>785</v>
      </c>
      <c r="I524" s="5">
        <v>1209</v>
      </c>
      <c r="J524" s="5">
        <v>3966</v>
      </c>
      <c r="K524" s="7" t="str">
        <f>HYPERLINK("http://www.centcols.org/util/geo/visuGen.php?code=US-WY-1209","US-WY-1209")</f>
        <v>US-WY-1209</v>
      </c>
      <c r="L524" s="8" t="s">
        <v>786</v>
      </c>
      <c r="M524" s="8" t="s">
        <v>2988</v>
      </c>
      <c r="N524" s="8">
        <v>10</v>
      </c>
      <c r="O524" s="8">
        <v>35</v>
      </c>
      <c r="P524" s="8"/>
      <c r="Q524" s="5">
        <v>-104.4768879</v>
      </c>
      <c r="R524" s="5">
        <v>43.4113621</v>
      </c>
      <c r="S524" s="5" t="s">
        <v>787</v>
      </c>
      <c r="T524" s="5" t="s">
        <v>788</v>
      </c>
      <c r="U524" s="8"/>
      <c r="V524" s="8"/>
      <c r="W524" s="8" t="s">
        <v>2966</v>
      </c>
      <c r="X524" s="8" t="s">
        <v>2548</v>
      </c>
    </row>
    <row r="525" spans="1:24" ht="11.25">
      <c r="A525" s="5" t="s">
        <v>789</v>
      </c>
      <c r="B525" s="5" t="s">
        <v>790</v>
      </c>
      <c r="C525" s="6" t="s">
        <v>791</v>
      </c>
      <c r="D525" s="6"/>
      <c r="E525" s="6"/>
      <c r="F525" s="5" t="s">
        <v>776</v>
      </c>
      <c r="G525" s="5"/>
      <c r="H525" s="6" t="s">
        <v>785</v>
      </c>
      <c r="I525" s="5">
        <v>1216</v>
      </c>
      <c r="J525" s="5">
        <v>3989</v>
      </c>
      <c r="K525" s="7" t="str">
        <f>HYPERLINK("http://www.centcols.org/util/geo/visuGen.php?code=US-WY-1216","US-WY-1216")</f>
        <v>US-WY-1216</v>
      </c>
      <c r="L525" s="8" t="s">
        <v>792</v>
      </c>
      <c r="M525" s="8" t="s">
        <v>3222</v>
      </c>
      <c r="N525" s="8">
        <v>15</v>
      </c>
      <c r="O525" s="8">
        <v>99</v>
      </c>
      <c r="P525" s="8"/>
      <c r="Q525" s="5">
        <v>-104.0735479</v>
      </c>
      <c r="R525" s="5">
        <v>43.461592</v>
      </c>
      <c r="S525" s="5" t="s">
        <v>793</v>
      </c>
      <c r="T525" s="5" t="s">
        <v>794</v>
      </c>
      <c r="U525" s="8"/>
      <c r="V525" s="8"/>
      <c r="W525" s="8" t="s">
        <v>2966</v>
      </c>
      <c r="X525" s="8" t="s">
        <v>795</v>
      </c>
    </row>
    <row r="526" spans="1:24" ht="11.25">
      <c r="A526" s="5" t="s">
        <v>796</v>
      </c>
      <c r="B526" s="5" t="s">
        <v>797</v>
      </c>
      <c r="C526" s="6" t="s">
        <v>798</v>
      </c>
      <c r="D526" s="6"/>
      <c r="E526" s="6"/>
      <c r="F526" s="5" t="s">
        <v>776</v>
      </c>
      <c r="G526" s="5"/>
      <c r="H526" s="6" t="s">
        <v>777</v>
      </c>
      <c r="I526" s="5">
        <v>1327</v>
      </c>
      <c r="J526" s="5">
        <v>4354</v>
      </c>
      <c r="K526" s="7" t="str">
        <f>HYPERLINK("http://www.centcols.org/util/geo/visuGen.php?code=US-WY-1327","US-WY-1327")</f>
        <v>US-WY-1327</v>
      </c>
      <c r="L526" s="8" t="s">
        <v>799</v>
      </c>
      <c r="M526" s="8" t="s">
        <v>2962</v>
      </c>
      <c r="N526" s="8">
        <v>20</v>
      </c>
      <c r="O526" s="8">
        <v>99</v>
      </c>
      <c r="P526" s="8"/>
      <c r="Q526" s="5">
        <v>-104.623938</v>
      </c>
      <c r="R526" s="5">
        <v>44.599082</v>
      </c>
      <c r="S526" s="5" t="s">
        <v>800</v>
      </c>
      <c r="T526" s="5" t="s">
        <v>801</v>
      </c>
      <c r="U526" s="8"/>
      <c r="V526" s="8"/>
      <c r="W526" s="8" t="s">
        <v>2966</v>
      </c>
      <c r="X526" s="8" t="s">
        <v>795</v>
      </c>
    </row>
    <row r="527" spans="1:24" ht="11.25">
      <c r="A527" s="5" t="s">
        <v>802</v>
      </c>
      <c r="B527" s="5" t="s">
        <v>803</v>
      </c>
      <c r="C527" s="6" t="s">
        <v>804</v>
      </c>
      <c r="D527" s="6"/>
      <c r="E527" s="6"/>
      <c r="F527" s="5" t="s">
        <v>776</v>
      </c>
      <c r="G527" s="5"/>
      <c r="H527" s="6" t="s">
        <v>805</v>
      </c>
      <c r="I527" s="5">
        <v>1359</v>
      </c>
      <c r="J527" s="5">
        <v>4459</v>
      </c>
      <c r="K527" s="7" t="str">
        <f>HYPERLINK("http://www.centcols.org/util/geo/visuGen.php?code=US-WY-1359","US-WY-1359")</f>
        <v>US-WY-1359</v>
      </c>
      <c r="L527" s="8" t="s">
        <v>806</v>
      </c>
      <c r="M527" s="8" t="s">
        <v>2988</v>
      </c>
      <c r="N527" s="8">
        <v>10</v>
      </c>
      <c r="O527" s="8">
        <v>35</v>
      </c>
      <c r="P527" s="8"/>
      <c r="Q527" s="5">
        <v>-104.6979579</v>
      </c>
      <c r="R527" s="5">
        <v>44.1511221</v>
      </c>
      <c r="S527" s="5" t="s">
        <v>807</v>
      </c>
      <c r="T527" s="5" t="s">
        <v>808</v>
      </c>
      <c r="U527" s="8"/>
      <c r="V527" s="8"/>
      <c r="W527" s="8" t="s">
        <v>2966</v>
      </c>
      <c r="X527" s="8" t="s">
        <v>2548</v>
      </c>
    </row>
    <row r="528" spans="1:24" ht="11.25">
      <c r="A528" s="5" t="s">
        <v>809</v>
      </c>
      <c r="B528" s="5" t="s">
        <v>810</v>
      </c>
      <c r="C528" s="6" t="s">
        <v>811</v>
      </c>
      <c r="D528" s="6"/>
      <c r="E528" s="6"/>
      <c r="F528" s="5" t="s">
        <v>776</v>
      </c>
      <c r="G528" s="5"/>
      <c r="H528" s="6" t="s">
        <v>777</v>
      </c>
      <c r="I528" s="5">
        <v>1362</v>
      </c>
      <c r="J528" s="5">
        <v>4468</v>
      </c>
      <c r="K528" s="7" t="str">
        <f>HYPERLINK("http://www.centcols.org/util/geo/visuGen.php?code=US-WY-1362","US-WY-1362")</f>
        <v>US-WY-1362</v>
      </c>
      <c r="L528" s="8" t="s">
        <v>812</v>
      </c>
      <c r="M528" s="8" t="s">
        <v>2988</v>
      </c>
      <c r="N528" s="8">
        <v>10</v>
      </c>
      <c r="O528" s="8">
        <v>35</v>
      </c>
      <c r="P528" s="8"/>
      <c r="Q528" s="5">
        <v>-104.5938079</v>
      </c>
      <c r="R528" s="5">
        <v>44.275192</v>
      </c>
      <c r="S528" s="5" t="s">
        <v>813</v>
      </c>
      <c r="T528" s="5" t="s">
        <v>814</v>
      </c>
      <c r="U528" s="8"/>
      <c r="V528" s="8"/>
      <c r="W528" s="8" t="s">
        <v>2966</v>
      </c>
      <c r="X528" s="8" t="s">
        <v>795</v>
      </c>
    </row>
    <row r="529" spans="1:24" ht="11.25">
      <c r="A529" s="5" t="s">
        <v>815</v>
      </c>
      <c r="B529" s="5" t="s">
        <v>816</v>
      </c>
      <c r="C529" s="6" t="s">
        <v>817</v>
      </c>
      <c r="D529" s="6"/>
      <c r="E529" s="6"/>
      <c r="F529" s="5" t="s">
        <v>776</v>
      </c>
      <c r="G529" s="5"/>
      <c r="H529" s="6" t="s">
        <v>818</v>
      </c>
      <c r="I529" s="5">
        <v>1415</v>
      </c>
      <c r="J529" s="5">
        <v>4642</v>
      </c>
      <c r="K529" s="7" t="str">
        <f>HYPERLINK("http://www.centcols.org/util/geo/visuGen.php?code=US-WY-1415","US-WY-1415")</f>
        <v>US-WY-1415</v>
      </c>
      <c r="L529" s="8" t="s">
        <v>819</v>
      </c>
      <c r="M529" s="8" t="s">
        <v>2988</v>
      </c>
      <c r="N529" s="8">
        <v>10</v>
      </c>
      <c r="O529" s="8">
        <v>35</v>
      </c>
      <c r="P529" s="8"/>
      <c r="Q529" s="5">
        <v>-106.2814179</v>
      </c>
      <c r="R529" s="5">
        <v>44.1430221</v>
      </c>
      <c r="S529" s="5" t="s">
        <v>820</v>
      </c>
      <c r="T529" s="5" t="s">
        <v>821</v>
      </c>
      <c r="U529" s="8"/>
      <c r="V529" s="8"/>
      <c r="W529" s="8" t="s">
        <v>2966</v>
      </c>
      <c r="X529" s="8" t="s">
        <v>795</v>
      </c>
    </row>
    <row r="530" spans="1:24" ht="11.25">
      <c r="A530" s="5" t="s">
        <v>822</v>
      </c>
      <c r="B530" s="5" t="s">
        <v>823</v>
      </c>
      <c r="C530" s="6" t="s">
        <v>824</v>
      </c>
      <c r="D530" s="6"/>
      <c r="E530" s="6"/>
      <c r="F530" s="5" t="s">
        <v>776</v>
      </c>
      <c r="G530" s="5"/>
      <c r="H530" s="6" t="s">
        <v>777</v>
      </c>
      <c r="I530" s="5">
        <v>1422</v>
      </c>
      <c r="J530" s="5">
        <v>4665</v>
      </c>
      <c r="K530" s="7" t="str">
        <f>HYPERLINK("http://www.centcols.org/util/geo/visuGen.php?code=US-WY-1422","US-WY-1422")</f>
        <v>US-WY-1422</v>
      </c>
      <c r="L530" s="8" t="s">
        <v>825</v>
      </c>
      <c r="M530" s="8" t="s">
        <v>3222</v>
      </c>
      <c r="N530" s="8">
        <v>15</v>
      </c>
      <c r="O530" s="8">
        <v>99</v>
      </c>
      <c r="P530" s="8"/>
      <c r="Q530" s="5">
        <v>-104.7569189</v>
      </c>
      <c r="R530" s="5">
        <v>44.620222</v>
      </c>
      <c r="S530" s="5" t="s">
        <v>826</v>
      </c>
      <c r="T530" s="5" t="s">
        <v>827</v>
      </c>
      <c r="U530" s="8"/>
      <c r="V530" s="8"/>
      <c r="W530" s="8" t="s">
        <v>2966</v>
      </c>
      <c r="X530" s="8" t="s">
        <v>795</v>
      </c>
    </row>
    <row r="531" spans="1:24" ht="11.25">
      <c r="A531" s="5" t="s">
        <v>828</v>
      </c>
      <c r="B531" s="5" t="s">
        <v>829</v>
      </c>
      <c r="C531" s="6" t="s">
        <v>830</v>
      </c>
      <c r="D531" s="6"/>
      <c r="E531" s="6"/>
      <c r="F531" s="5" t="s">
        <v>776</v>
      </c>
      <c r="G531" s="5"/>
      <c r="H531" s="6" t="s">
        <v>777</v>
      </c>
      <c r="I531" s="5">
        <v>1442</v>
      </c>
      <c r="J531" s="5">
        <v>4731</v>
      </c>
      <c r="K531" s="7" t="str">
        <f>HYPERLINK("http://www.centcols.org/util/geo/visuGen.php?code=US-WY-1442","US-WY-1442")</f>
        <v>US-WY-1442</v>
      </c>
      <c r="L531" s="8" t="s">
        <v>812</v>
      </c>
      <c r="M531" s="8" t="s">
        <v>2988</v>
      </c>
      <c r="N531" s="8">
        <v>10</v>
      </c>
      <c r="O531" s="8">
        <v>35</v>
      </c>
      <c r="P531" s="8"/>
      <c r="Q531" s="5">
        <v>-104.6081579</v>
      </c>
      <c r="R531" s="5">
        <v>44.3636731</v>
      </c>
      <c r="S531" s="5" t="s">
        <v>831</v>
      </c>
      <c r="T531" s="5" t="s">
        <v>832</v>
      </c>
      <c r="U531" s="8"/>
      <c r="V531" s="8"/>
      <c r="W531" s="8" t="s">
        <v>2966</v>
      </c>
      <c r="X531" s="8" t="s">
        <v>795</v>
      </c>
    </row>
    <row r="532" spans="1:24" ht="11.25">
      <c r="A532" s="5" t="s">
        <v>833</v>
      </c>
      <c r="B532" s="5" t="s">
        <v>834</v>
      </c>
      <c r="C532" s="6" t="s">
        <v>835</v>
      </c>
      <c r="D532" s="6"/>
      <c r="E532" s="6"/>
      <c r="F532" s="5" t="s">
        <v>776</v>
      </c>
      <c r="G532" s="5"/>
      <c r="H532" s="6" t="s">
        <v>777</v>
      </c>
      <c r="I532" s="5">
        <v>1478</v>
      </c>
      <c r="J532" s="5">
        <v>4849</v>
      </c>
      <c r="K532" s="7" t="str">
        <f>HYPERLINK("http://www.centcols.org/util/geo/visuGen.php?code=US-WY-1478","US-WY-1478")</f>
        <v>US-WY-1478</v>
      </c>
      <c r="L532" s="8" t="s">
        <v>836</v>
      </c>
      <c r="M532" s="9" t="s">
        <v>837</v>
      </c>
      <c r="N532" s="8">
        <v>0</v>
      </c>
      <c r="O532" s="8">
        <v>0</v>
      </c>
      <c r="P532" s="8"/>
      <c r="Q532" s="5">
        <v>-104.639988</v>
      </c>
      <c r="R532" s="5">
        <v>44.4524421</v>
      </c>
      <c r="S532" s="5" t="s">
        <v>838</v>
      </c>
      <c r="T532" s="5" t="s">
        <v>839</v>
      </c>
      <c r="U532" s="8"/>
      <c r="V532" s="8"/>
      <c r="W532" s="8" t="s">
        <v>2966</v>
      </c>
      <c r="X532" s="8" t="s">
        <v>795</v>
      </c>
    </row>
    <row r="533" spans="1:24" ht="11.25">
      <c r="A533" s="5" t="s">
        <v>840</v>
      </c>
      <c r="B533" s="5" t="s">
        <v>841</v>
      </c>
      <c r="C533" s="6" t="s">
        <v>842</v>
      </c>
      <c r="D533" s="6"/>
      <c r="E533" s="6"/>
      <c r="F533" s="5" t="s">
        <v>776</v>
      </c>
      <c r="G533" s="5"/>
      <c r="H533" s="6" t="s">
        <v>777</v>
      </c>
      <c r="I533" s="5">
        <v>1529</v>
      </c>
      <c r="J533" s="5">
        <v>5016</v>
      </c>
      <c r="K533" s="7" t="str">
        <f>HYPERLINK("http://www.centcols.org/util/geo/visuGen.php?code=US-WY-1529","US-WY-1529")</f>
        <v>US-WY-1529</v>
      </c>
      <c r="L533" s="8" t="s">
        <v>812</v>
      </c>
      <c r="M533" s="8" t="s">
        <v>2988</v>
      </c>
      <c r="N533" s="8">
        <v>10</v>
      </c>
      <c r="O533" s="8">
        <v>35</v>
      </c>
      <c r="P533" s="8"/>
      <c r="Q533" s="5">
        <v>-104.5061379</v>
      </c>
      <c r="R533" s="5">
        <v>44.343703</v>
      </c>
      <c r="S533" s="5" t="s">
        <v>843</v>
      </c>
      <c r="T533" s="5" t="s">
        <v>844</v>
      </c>
      <c r="U533" s="8"/>
      <c r="V533" s="8"/>
      <c r="W533" s="8" t="s">
        <v>2966</v>
      </c>
      <c r="X533" s="8" t="s">
        <v>795</v>
      </c>
    </row>
    <row r="534" spans="1:24" ht="11.25">
      <c r="A534" s="5" t="s">
        <v>845</v>
      </c>
      <c r="B534" s="5" t="s">
        <v>846</v>
      </c>
      <c r="C534" s="6" t="s">
        <v>847</v>
      </c>
      <c r="D534" s="6"/>
      <c r="E534" s="6"/>
      <c r="F534" s="5" t="s">
        <v>776</v>
      </c>
      <c r="G534" s="5"/>
      <c r="H534" s="6" t="s">
        <v>777</v>
      </c>
      <c r="I534" s="5">
        <v>1546</v>
      </c>
      <c r="J534" s="5">
        <v>5072</v>
      </c>
      <c r="K534" s="7" t="str">
        <f>HYPERLINK("http://www.centcols.org/util/geo/visuGen.php?code=US-WY-1546","US-WY-1546")</f>
        <v>US-WY-1546</v>
      </c>
      <c r="L534" s="8" t="s">
        <v>848</v>
      </c>
      <c r="M534" s="8" t="s">
        <v>2988</v>
      </c>
      <c r="N534" s="8">
        <v>10</v>
      </c>
      <c r="O534" s="8">
        <v>35</v>
      </c>
      <c r="P534" s="8"/>
      <c r="Q534" s="5">
        <v>-104.5426379</v>
      </c>
      <c r="R534" s="5">
        <v>44.3808022</v>
      </c>
      <c r="S534" s="5" t="s">
        <v>849</v>
      </c>
      <c r="T534" s="5" t="s">
        <v>850</v>
      </c>
      <c r="U534" s="8"/>
      <c r="V534" s="8"/>
      <c r="W534" s="8" t="s">
        <v>2966</v>
      </c>
      <c r="X534" s="8" t="s">
        <v>795</v>
      </c>
    </row>
    <row r="535" spans="1:24" ht="11.25">
      <c r="A535" s="5" t="s">
        <v>851</v>
      </c>
      <c r="B535" s="5" t="s">
        <v>852</v>
      </c>
      <c r="C535" s="6" t="s">
        <v>853</v>
      </c>
      <c r="D535" s="6"/>
      <c r="E535" s="6"/>
      <c r="F535" s="5" t="s">
        <v>776</v>
      </c>
      <c r="G535" s="5"/>
      <c r="H535" s="6" t="s">
        <v>777</v>
      </c>
      <c r="I535" s="5">
        <v>1581</v>
      </c>
      <c r="J535" s="5">
        <v>5187</v>
      </c>
      <c r="K535" s="7" t="str">
        <f>HYPERLINK("http://www.centcols.org/util/geo/visuGen.php?code=US-WY-1581","US-WY-1581")</f>
        <v>US-WY-1581</v>
      </c>
      <c r="L535" s="8" t="s">
        <v>848</v>
      </c>
      <c r="M535" s="8" t="s">
        <v>2988</v>
      </c>
      <c r="N535" s="8">
        <v>10</v>
      </c>
      <c r="O535" s="8">
        <v>35</v>
      </c>
      <c r="P535" s="8"/>
      <c r="Q535" s="5">
        <v>-104.5544579</v>
      </c>
      <c r="R535" s="5">
        <v>44.4249631</v>
      </c>
      <c r="S535" s="5" t="s">
        <v>854</v>
      </c>
      <c r="T535" s="5" t="s">
        <v>855</v>
      </c>
      <c r="U535" s="8"/>
      <c r="V535" s="8"/>
      <c r="W535" s="8" t="s">
        <v>2966</v>
      </c>
      <c r="X535" s="8" t="s">
        <v>795</v>
      </c>
    </row>
    <row r="536" spans="1:24" ht="11.25">
      <c r="A536" s="5" t="s">
        <v>856</v>
      </c>
      <c r="B536" s="5" t="s">
        <v>857</v>
      </c>
      <c r="C536" s="6" t="s">
        <v>858</v>
      </c>
      <c r="D536" s="6"/>
      <c r="E536" s="6"/>
      <c r="F536" s="5" t="s">
        <v>776</v>
      </c>
      <c r="G536" s="5"/>
      <c r="H536" s="6" t="s">
        <v>818</v>
      </c>
      <c r="I536" s="5">
        <v>1583</v>
      </c>
      <c r="J536" s="5">
        <v>5194</v>
      </c>
      <c r="K536" s="7" t="str">
        <f>HYPERLINK("http://www.centcols.org/util/geo/visuGen.php?code=US-WY-1583","US-WY-1583")</f>
        <v>US-WY-1583</v>
      </c>
      <c r="L536" s="8" t="s">
        <v>859</v>
      </c>
      <c r="M536" s="8" t="s">
        <v>3222</v>
      </c>
      <c r="N536" s="8">
        <v>15</v>
      </c>
      <c r="O536" s="8">
        <v>99</v>
      </c>
      <c r="P536" s="8"/>
      <c r="Q536" s="5">
        <v>-106.863067</v>
      </c>
      <c r="R536" s="5">
        <v>43.6070288</v>
      </c>
      <c r="S536" s="5" t="s">
        <v>860</v>
      </c>
      <c r="T536" s="5" t="s">
        <v>861</v>
      </c>
      <c r="U536" s="8"/>
      <c r="V536" s="8"/>
      <c r="W536" s="8" t="s">
        <v>2966</v>
      </c>
      <c r="X536" s="8" t="s">
        <v>2386</v>
      </c>
    </row>
    <row r="537" spans="1:24" ht="11.25">
      <c r="A537" s="5" t="s">
        <v>862</v>
      </c>
      <c r="B537" s="5" t="s">
        <v>863</v>
      </c>
      <c r="C537" s="6" t="s">
        <v>864</v>
      </c>
      <c r="D537" s="6"/>
      <c r="E537" s="6"/>
      <c r="F537" s="5" t="s">
        <v>776</v>
      </c>
      <c r="G537" s="5"/>
      <c r="H537" s="6" t="s">
        <v>777</v>
      </c>
      <c r="I537" s="5">
        <v>1586</v>
      </c>
      <c r="J537" s="5">
        <v>5203</v>
      </c>
      <c r="K537" s="7" t="str">
        <f>HYPERLINK("http://www.centcols.org/util/geo/visuGen.php?code=US-WY-1586","US-WY-1586")</f>
        <v>US-WY-1586</v>
      </c>
      <c r="L537" s="8" t="s">
        <v>865</v>
      </c>
      <c r="M537" s="8" t="s">
        <v>2988</v>
      </c>
      <c r="N537" s="8">
        <v>10</v>
      </c>
      <c r="O537" s="8">
        <v>35</v>
      </c>
      <c r="P537" s="8"/>
      <c r="Q537" s="5">
        <v>-104.208118</v>
      </c>
      <c r="R537" s="5">
        <v>44.380492</v>
      </c>
      <c r="S537" s="5" t="s">
        <v>866</v>
      </c>
      <c r="T537" s="5" t="s">
        <v>867</v>
      </c>
      <c r="U537" s="8"/>
      <c r="V537" s="8"/>
      <c r="W537" s="8" t="s">
        <v>2966</v>
      </c>
      <c r="X537" s="8" t="s">
        <v>795</v>
      </c>
    </row>
    <row r="538" spans="1:24" ht="11.25">
      <c r="A538" s="5" t="s">
        <v>868</v>
      </c>
      <c r="B538" s="5" t="s">
        <v>869</v>
      </c>
      <c r="C538" s="6" t="s">
        <v>870</v>
      </c>
      <c r="D538" s="6"/>
      <c r="E538" s="6"/>
      <c r="F538" s="5" t="s">
        <v>776</v>
      </c>
      <c r="G538" s="5"/>
      <c r="H538" s="6" t="s">
        <v>871</v>
      </c>
      <c r="I538" s="5">
        <v>1600</v>
      </c>
      <c r="J538" s="5">
        <v>5249</v>
      </c>
      <c r="K538" s="7" t="str">
        <f>HYPERLINK("http://www.centcols.org/util/geo/visuGen.php?code=US-WY-1600","US-WY-1600")</f>
        <v>US-WY-1600</v>
      </c>
      <c r="L538" s="8" t="s">
        <v>872</v>
      </c>
      <c r="M538" s="8" t="s">
        <v>2988</v>
      </c>
      <c r="N538" s="8">
        <v>10</v>
      </c>
      <c r="O538" s="8">
        <v>35</v>
      </c>
      <c r="P538" s="8"/>
      <c r="Q538" s="5">
        <v>-106.2691879</v>
      </c>
      <c r="R538" s="5">
        <v>43.5458121</v>
      </c>
      <c r="S538" s="5" t="s">
        <v>873</v>
      </c>
      <c r="T538" s="5" t="s">
        <v>874</v>
      </c>
      <c r="U538" s="8"/>
      <c r="V538" s="8"/>
      <c r="W538" s="8" t="s">
        <v>2966</v>
      </c>
      <c r="X538" s="8" t="s">
        <v>2967</v>
      </c>
    </row>
    <row r="539" spans="1:24" ht="11.25">
      <c r="A539" s="5" t="s">
        <v>875</v>
      </c>
      <c r="B539" s="5" t="s">
        <v>876</v>
      </c>
      <c r="C539" s="6" t="s">
        <v>877</v>
      </c>
      <c r="D539" s="6"/>
      <c r="E539" s="6"/>
      <c r="F539" s="5" t="s">
        <v>776</v>
      </c>
      <c r="G539" s="5"/>
      <c r="H539" s="6" t="s">
        <v>3642</v>
      </c>
      <c r="I539" s="5">
        <v>1620</v>
      </c>
      <c r="J539" s="5">
        <v>5315</v>
      </c>
      <c r="K539" s="7" t="str">
        <f>HYPERLINK("http://www.centcols.org/util/geo/visuGen.php?code=US-WY-1620","US-WY-1620")</f>
        <v>US-WY-1620</v>
      </c>
      <c r="L539" s="8" t="s">
        <v>1763</v>
      </c>
      <c r="M539" s="8" t="s">
        <v>2988</v>
      </c>
      <c r="N539" s="8">
        <v>10</v>
      </c>
      <c r="O539" s="8">
        <v>35</v>
      </c>
      <c r="P539" s="8"/>
      <c r="Q539" s="5">
        <v>-108.6628936</v>
      </c>
      <c r="R539" s="5">
        <v>42.7895842</v>
      </c>
      <c r="S539" s="5" t="s">
        <v>878</v>
      </c>
      <c r="T539" s="5" t="s">
        <v>879</v>
      </c>
      <c r="U539" s="8"/>
      <c r="V539" s="8"/>
      <c r="W539" s="8" t="s">
        <v>2966</v>
      </c>
      <c r="X539" s="8" t="s">
        <v>880</v>
      </c>
    </row>
    <row r="540" spans="1:24" ht="11.25">
      <c r="A540" s="5" t="s">
        <v>881</v>
      </c>
      <c r="B540" s="5" t="s">
        <v>882</v>
      </c>
      <c r="C540" s="6" t="s">
        <v>2586</v>
      </c>
      <c r="D540" s="6"/>
      <c r="E540" s="6"/>
      <c r="F540" s="5" t="s">
        <v>776</v>
      </c>
      <c r="G540" s="5"/>
      <c r="H540" s="6" t="s">
        <v>3834</v>
      </c>
      <c r="I540" s="5">
        <v>1628</v>
      </c>
      <c r="J540" s="5">
        <v>5341</v>
      </c>
      <c r="K540" s="7" t="str">
        <f>HYPERLINK("http://www.centcols.org/util/geo/visuGen.php?code=US-WY-1628","US-WY-1628")</f>
        <v>US-WY-1628</v>
      </c>
      <c r="L540" s="8" t="s">
        <v>883</v>
      </c>
      <c r="M540" s="8" t="s">
        <v>3113</v>
      </c>
      <c r="N540" s="8">
        <v>10</v>
      </c>
      <c r="O540" s="8">
        <v>35</v>
      </c>
      <c r="P540" s="8"/>
      <c r="Q540" s="5">
        <v>-109.1071431</v>
      </c>
      <c r="R540" s="5">
        <v>44.48703</v>
      </c>
      <c r="S540" s="5" t="s">
        <v>884</v>
      </c>
      <c r="T540" s="5" t="s">
        <v>885</v>
      </c>
      <c r="U540" s="8"/>
      <c r="V540" s="8"/>
      <c r="W540" s="8" t="s">
        <v>2966</v>
      </c>
      <c r="X540" s="8" t="s">
        <v>2386</v>
      </c>
    </row>
    <row r="541" spans="1:24" ht="11.25">
      <c r="A541" s="5" t="s">
        <v>886</v>
      </c>
      <c r="B541" s="5" t="s">
        <v>887</v>
      </c>
      <c r="C541" s="6" t="s">
        <v>888</v>
      </c>
      <c r="D541" s="6"/>
      <c r="E541" s="6"/>
      <c r="F541" s="5" t="s">
        <v>776</v>
      </c>
      <c r="G541" s="5"/>
      <c r="H541" s="6" t="s">
        <v>777</v>
      </c>
      <c r="I541" s="5">
        <v>1631</v>
      </c>
      <c r="J541" s="5">
        <v>5351</v>
      </c>
      <c r="K541" s="7" t="str">
        <f>HYPERLINK("http://www.centcols.org/util/geo/visuGen.php?code=US-WY-1631","US-WY-1631")</f>
        <v>US-WY-1631</v>
      </c>
      <c r="L541" s="8" t="s">
        <v>889</v>
      </c>
      <c r="M541" s="9" t="s">
        <v>890</v>
      </c>
      <c r="N541" s="8">
        <v>0</v>
      </c>
      <c r="O541" s="8">
        <v>0</v>
      </c>
      <c r="P541" s="8"/>
      <c r="Q541" s="5">
        <v>-104.4492479</v>
      </c>
      <c r="R541" s="5">
        <v>44.4000722</v>
      </c>
      <c r="S541" s="5" t="s">
        <v>891</v>
      </c>
      <c r="T541" s="5" t="s">
        <v>892</v>
      </c>
      <c r="U541" s="8"/>
      <c r="V541" s="8"/>
      <c r="W541" s="8" t="s">
        <v>2966</v>
      </c>
      <c r="X541" s="8" t="s">
        <v>2967</v>
      </c>
    </row>
    <row r="542" spans="1:24" ht="11.25">
      <c r="A542" s="5" t="s">
        <v>893</v>
      </c>
      <c r="B542" s="5" t="s">
        <v>894</v>
      </c>
      <c r="C542" s="6" t="s">
        <v>895</v>
      </c>
      <c r="D542" s="6"/>
      <c r="E542" s="6"/>
      <c r="F542" s="5" t="s">
        <v>776</v>
      </c>
      <c r="G542" s="5"/>
      <c r="H542" s="6" t="s">
        <v>896</v>
      </c>
      <c r="I542" s="5">
        <v>1638</v>
      </c>
      <c r="J542" s="5">
        <v>5374</v>
      </c>
      <c r="K542" s="7" t="str">
        <f>HYPERLINK("http://www.centcols.org/util/geo/visuGen.php?code=US-WY-1638","US-WY-1638")</f>
        <v>US-WY-1638</v>
      </c>
      <c r="L542" s="8" t="s">
        <v>897</v>
      </c>
      <c r="M542" s="8" t="s">
        <v>3222</v>
      </c>
      <c r="N542" s="8">
        <v>15</v>
      </c>
      <c r="O542" s="8">
        <v>99</v>
      </c>
      <c r="P542" s="8"/>
      <c r="Q542" s="5">
        <v>-107.9444179</v>
      </c>
      <c r="R542" s="5">
        <v>43.655102</v>
      </c>
      <c r="S542" s="5" t="s">
        <v>898</v>
      </c>
      <c r="T542" s="5" t="s">
        <v>899</v>
      </c>
      <c r="U542" s="8"/>
      <c r="V542" s="8"/>
      <c r="W542" s="8" t="s">
        <v>2966</v>
      </c>
      <c r="X542" s="8" t="s">
        <v>2967</v>
      </c>
    </row>
    <row r="543" spans="1:24" ht="11.25">
      <c r="A543" s="5" t="s">
        <v>900</v>
      </c>
      <c r="B543" s="5" t="s">
        <v>901</v>
      </c>
      <c r="C543" s="6" t="s">
        <v>902</v>
      </c>
      <c r="D543" s="6"/>
      <c r="E543" s="6"/>
      <c r="F543" s="5" t="s">
        <v>776</v>
      </c>
      <c r="G543" s="5"/>
      <c r="H543" s="6" t="s">
        <v>903</v>
      </c>
      <c r="I543" s="5">
        <v>1652</v>
      </c>
      <c r="J543" s="5">
        <v>5420</v>
      </c>
      <c r="K543" s="7" t="str">
        <f>HYPERLINK("http://www.centcols.org/util/geo/visuGen.php?code=US-WY-1652","US-WY-1652")</f>
        <v>US-WY-1652</v>
      </c>
      <c r="L543" s="8" t="s">
        <v>904</v>
      </c>
      <c r="M543" s="8" t="s">
        <v>2988</v>
      </c>
      <c r="N543" s="8">
        <v>10</v>
      </c>
      <c r="O543" s="8">
        <v>35</v>
      </c>
      <c r="P543" s="8"/>
      <c r="Q543" s="5">
        <v>-105.717138</v>
      </c>
      <c r="R543" s="5">
        <v>43.2362221</v>
      </c>
      <c r="S543" s="5" t="s">
        <v>905</v>
      </c>
      <c r="T543" s="5" t="s">
        <v>906</v>
      </c>
      <c r="U543" s="8"/>
      <c r="V543" s="8"/>
      <c r="W543" s="8" t="s">
        <v>2966</v>
      </c>
      <c r="X543" s="8" t="s">
        <v>795</v>
      </c>
    </row>
    <row r="544" spans="1:24" ht="11.25">
      <c r="A544" s="5" t="s">
        <v>907</v>
      </c>
      <c r="B544" s="5" t="s">
        <v>908</v>
      </c>
      <c r="C544" s="6" t="s">
        <v>909</v>
      </c>
      <c r="D544" s="6"/>
      <c r="E544" s="6"/>
      <c r="F544" s="5" t="s">
        <v>776</v>
      </c>
      <c r="G544" s="5"/>
      <c r="H544" s="6" t="s">
        <v>3834</v>
      </c>
      <c r="I544" s="5">
        <v>1673</v>
      </c>
      <c r="J544" s="5">
        <v>5489</v>
      </c>
      <c r="K544" s="7" t="str">
        <f>HYPERLINK("http://www.centcols.org/util/geo/visuGen.php?code=US-WY-1673","US-WY-1673")</f>
        <v>US-WY-1673</v>
      </c>
      <c r="L544" s="8" t="s">
        <v>910</v>
      </c>
      <c r="M544" s="8" t="s">
        <v>2988</v>
      </c>
      <c r="N544" s="8">
        <v>10</v>
      </c>
      <c r="O544" s="8">
        <v>35</v>
      </c>
      <c r="P544" s="8"/>
      <c r="Q544" s="5">
        <v>-108.6408979</v>
      </c>
      <c r="R544" s="5">
        <v>44.1373821</v>
      </c>
      <c r="S544" s="5" t="s">
        <v>911</v>
      </c>
      <c r="T544" s="5" t="s">
        <v>912</v>
      </c>
      <c r="U544" s="8"/>
      <c r="V544" s="8"/>
      <c r="W544" s="8" t="s">
        <v>2966</v>
      </c>
      <c r="X544" s="8" t="s">
        <v>2967</v>
      </c>
    </row>
    <row r="545" spans="1:24" ht="11.25">
      <c r="A545" s="5" t="s">
        <v>913</v>
      </c>
      <c r="B545" s="5" t="s">
        <v>914</v>
      </c>
      <c r="C545" s="6" t="s">
        <v>915</v>
      </c>
      <c r="D545" s="6"/>
      <c r="E545" s="6"/>
      <c r="F545" s="5" t="s">
        <v>776</v>
      </c>
      <c r="G545" s="5"/>
      <c r="H545" s="6" t="s">
        <v>777</v>
      </c>
      <c r="I545" s="5">
        <v>1681</v>
      </c>
      <c r="J545" s="5">
        <v>5515</v>
      </c>
      <c r="K545" s="7" t="str">
        <f>HYPERLINK("http://www.centcols.org/util/geo/visuGen.php?code=US-WY-1681","US-WY-1681")</f>
        <v>US-WY-1681</v>
      </c>
      <c r="L545" s="8" t="s">
        <v>916</v>
      </c>
      <c r="M545" s="8" t="s">
        <v>2988</v>
      </c>
      <c r="N545" s="8">
        <v>10</v>
      </c>
      <c r="O545" s="8">
        <v>35</v>
      </c>
      <c r="P545" s="8"/>
      <c r="Q545" s="5">
        <v>-104.4455578</v>
      </c>
      <c r="R545" s="5">
        <v>44.5497522</v>
      </c>
      <c r="S545" s="5" t="s">
        <v>917</v>
      </c>
      <c r="T545" s="5" t="s">
        <v>918</v>
      </c>
      <c r="U545" s="8"/>
      <c r="V545" s="8"/>
      <c r="W545" s="8" t="s">
        <v>2966</v>
      </c>
      <c r="X545" s="8" t="s">
        <v>795</v>
      </c>
    </row>
    <row r="546" spans="1:24" ht="11.25">
      <c r="A546" s="5" t="s">
        <v>919</v>
      </c>
      <c r="B546" s="5" t="s">
        <v>920</v>
      </c>
      <c r="C546" s="6" t="s">
        <v>921</v>
      </c>
      <c r="D546" s="6"/>
      <c r="E546" s="6"/>
      <c r="F546" s="5" t="s">
        <v>776</v>
      </c>
      <c r="G546" s="5"/>
      <c r="H546" s="6" t="s">
        <v>922</v>
      </c>
      <c r="I546" s="5">
        <v>1711</v>
      </c>
      <c r="J546" s="5">
        <v>5613</v>
      </c>
      <c r="K546" s="7" t="str">
        <f>HYPERLINK("http://www.centcols.org/util/geo/visuGen.php?code=US-WY-1711","US-WY-1711")</f>
        <v>US-WY-1711</v>
      </c>
      <c r="L546" s="8" t="s">
        <v>923</v>
      </c>
      <c r="M546" s="8" t="s">
        <v>2988</v>
      </c>
      <c r="N546" s="8">
        <v>10</v>
      </c>
      <c r="O546" s="8">
        <v>35</v>
      </c>
      <c r="P546" s="8"/>
      <c r="Q546" s="5">
        <v>-105.2597479</v>
      </c>
      <c r="R546" s="5">
        <v>42.4372722</v>
      </c>
      <c r="S546" s="5" t="s">
        <v>924</v>
      </c>
      <c r="T546" s="5" t="s">
        <v>925</v>
      </c>
      <c r="U546" s="8"/>
      <c r="V546" s="8"/>
      <c r="W546" s="8" t="s">
        <v>2966</v>
      </c>
      <c r="X546" s="8" t="s">
        <v>2967</v>
      </c>
    </row>
    <row r="547" spans="1:24" ht="11.25">
      <c r="A547" s="5" t="s">
        <v>926</v>
      </c>
      <c r="B547" s="5" t="s">
        <v>927</v>
      </c>
      <c r="C547" s="6" t="s">
        <v>928</v>
      </c>
      <c r="D547" s="6"/>
      <c r="E547" s="6"/>
      <c r="F547" s="5" t="s">
        <v>776</v>
      </c>
      <c r="G547" s="5"/>
      <c r="H547" s="6" t="s">
        <v>871</v>
      </c>
      <c r="I547" s="5">
        <v>1807</v>
      </c>
      <c r="J547" s="5">
        <v>5928</v>
      </c>
      <c r="K547" s="7" t="str">
        <f>HYPERLINK("http://www.centcols.org/util/geo/visuGen.php?code=US-WY-1807","US-WY-1807")</f>
        <v>US-WY-1807</v>
      </c>
      <c r="L547" s="8" t="s">
        <v>929</v>
      </c>
      <c r="M547" s="8" t="s">
        <v>2988</v>
      </c>
      <c r="N547" s="8">
        <v>10</v>
      </c>
      <c r="O547" s="8">
        <v>35</v>
      </c>
      <c r="P547" s="8"/>
      <c r="Q547" s="5">
        <v>-104.0529879</v>
      </c>
      <c r="R547" s="5">
        <v>44.387772</v>
      </c>
      <c r="S547" s="5" t="s">
        <v>930</v>
      </c>
      <c r="T547" s="5" t="s">
        <v>931</v>
      </c>
      <c r="U547" s="8"/>
      <c r="V547" s="8"/>
      <c r="W547" s="8" t="s">
        <v>2966</v>
      </c>
      <c r="X547" s="8" t="s">
        <v>2967</v>
      </c>
    </row>
    <row r="548" spans="1:24" ht="11.25">
      <c r="A548" s="5" t="s">
        <v>932</v>
      </c>
      <c r="B548" s="5" t="s">
        <v>933</v>
      </c>
      <c r="C548" s="6" t="s">
        <v>934</v>
      </c>
      <c r="D548" s="6"/>
      <c r="E548" s="6"/>
      <c r="F548" s="5" t="s">
        <v>776</v>
      </c>
      <c r="G548" s="5"/>
      <c r="H548" s="6" t="s">
        <v>871</v>
      </c>
      <c r="I548" s="5">
        <v>1809</v>
      </c>
      <c r="J548" s="5">
        <v>5935</v>
      </c>
      <c r="K548" s="7" t="str">
        <f>HYPERLINK("http://www.centcols.org/util/geo/visuGen.php?code=US-WY-1809","US-WY-1809")</f>
        <v>US-WY-1809</v>
      </c>
      <c r="L548" s="8" t="s">
        <v>929</v>
      </c>
      <c r="M548" s="8" t="s">
        <v>3113</v>
      </c>
      <c r="N548" s="8">
        <v>10</v>
      </c>
      <c r="O548" s="8">
        <v>35</v>
      </c>
      <c r="P548" s="8"/>
      <c r="Q548" s="5">
        <v>-104.052258</v>
      </c>
      <c r="R548" s="5">
        <v>44.3831721</v>
      </c>
      <c r="S548" s="5" t="s">
        <v>935</v>
      </c>
      <c r="T548" s="5" t="s">
        <v>936</v>
      </c>
      <c r="U548" s="9" t="s">
        <v>3622</v>
      </c>
      <c r="V548" s="8"/>
      <c r="W548" s="8" t="s">
        <v>2966</v>
      </c>
      <c r="X548" s="8" t="s">
        <v>2967</v>
      </c>
    </row>
    <row r="549" spans="1:24" ht="11.25">
      <c r="A549" s="5" t="s">
        <v>937</v>
      </c>
      <c r="B549" s="5" t="s">
        <v>938</v>
      </c>
      <c r="C549" s="6" t="s">
        <v>939</v>
      </c>
      <c r="D549" s="6"/>
      <c r="E549" s="6"/>
      <c r="F549" s="5" t="s">
        <v>776</v>
      </c>
      <c r="G549" s="5"/>
      <c r="H549" s="6" t="s">
        <v>3642</v>
      </c>
      <c r="I549" s="5">
        <v>1818</v>
      </c>
      <c r="J549" s="5">
        <v>5964</v>
      </c>
      <c r="K549" s="7" t="str">
        <f>HYPERLINK("http://www.centcols.org/util/geo/visuGen.php?code=US-WY-1818","US-WY-1818")</f>
        <v>US-WY-1818</v>
      </c>
      <c r="L549" s="8" t="s">
        <v>940</v>
      </c>
      <c r="M549" s="8" t="s">
        <v>2988</v>
      </c>
      <c r="N549" s="8">
        <v>10</v>
      </c>
      <c r="O549" s="8">
        <v>35</v>
      </c>
      <c r="P549" s="8"/>
      <c r="Q549" s="5">
        <v>-107.7270179</v>
      </c>
      <c r="R549" s="5">
        <v>43.0399721</v>
      </c>
      <c r="S549" s="5" t="s">
        <v>941</v>
      </c>
      <c r="T549" s="5" t="s">
        <v>942</v>
      </c>
      <c r="U549" s="8"/>
      <c r="V549" s="8"/>
      <c r="W549" s="8" t="s">
        <v>2966</v>
      </c>
      <c r="X549" s="8" t="s">
        <v>795</v>
      </c>
    </row>
    <row r="550" spans="1:24" ht="11.25">
      <c r="A550" s="5" t="s">
        <v>943</v>
      </c>
      <c r="B550" s="5" t="s">
        <v>944</v>
      </c>
      <c r="C550" s="6" t="s">
        <v>945</v>
      </c>
      <c r="D550" s="6"/>
      <c r="E550" s="6"/>
      <c r="F550" s="5" t="s">
        <v>776</v>
      </c>
      <c r="G550" s="5"/>
      <c r="H550" s="6" t="s">
        <v>871</v>
      </c>
      <c r="I550" s="5">
        <v>1820</v>
      </c>
      <c r="J550" s="5">
        <v>5971</v>
      </c>
      <c r="K550" s="7" t="str">
        <f>HYPERLINK("http://www.centcols.org/util/geo/visuGen.php?code=US-WY-1820","US-WY-1820")</f>
        <v>US-WY-1820</v>
      </c>
      <c r="L550" s="8" t="s">
        <v>929</v>
      </c>
      <c r="M550" s="8" t="s">
        <v>2962</v>
      </c>
      <c r="N550" s="8">
        <v>20</v>
      </c>
      <c r="O550" s="8">
        <v>99</v>
      </c>
      <c r="P550" s="8"/>
      <c r="Q550" s="5">
        <v>-104.0515898</v>
      </c>
      <c r="R550" s="5">
        <v>44.3807943</v>
      </c>
      <c r="S550" s="5" t="s">
        <v>946</v>
      </c>
      <c r="T550" s="5" t="s">
        <v>850</v>
      </c>
      <c r="U550" s="8"/>
      <c r="V550" s="8"/>
      <c r="W550" s="8" t="s">
        <v>2966</v>
      </c>
      <c r="X550" s="8" t="s">
        <v>2967</v>
      </c>
    </row>
    <row r="551" spans="1:24" ht="11.25">
      <c r="A551" s="5" t="s">
        <v>947</v>
      </c>
      <c r="B551" s="5" t="s">
        <v>948</v>
      </c>
      <c r="C551" s="6" t="s">
        <v>1154</v>
      </c>
      <c r="D551" s="6"/>
      <c r="E551" s="6"/>
      <c r="F551" s="5" t="s">
        <v>776</v>
      </c>
      <c r="G551" s="5"/>
      <c r="H551" s="6" t="s">
        <v>871</v>
      </c>
      <c r="I551" s="5">
        <v>1820</v>
      </c>
      <c r="J551" s="5">
        <v>5971</v>
      </c>
      <c r="K551" s="7" t="str">
        <f>HYPERLINK("http://www.centcols.org/util/geo/visuGen.php?code=US-WY-1820a","US-WY-1820a")</f>
        <v>US-WY-1820a</v>
      </c>
      <c r="L551" s="8" t="s">
        <v>949</v>
      </c>
      <c r="M551" s="8" t="s">
        <v>2962</v>
      </c>
      <c r="N551" s="8">
        <v>20</v>
      </c>
      <c r="O551" s="8">
        <v>99</v>
      </c>
      <c r="P551" s="8"/>
      <c r="Q551" s="5">
        <v>-107.2099989</v>
      </c>
      <c r="R551" s="5">
        <v>42.4488912</v>
      </c>
      <c r="S551" s="5" t="s">
        <v>950</v>
      </c>
      <c r="T551" s="5" t="s">
        <v>951</v>
      </c>
      <c r="U551" s="8"/>
      <c r="V551" s="8"/>
      <c r="W551" s="8" t="s">
        <v>2966</v>
      </c>
      <c r="X551" s="8" t="s">
        <v>2386</v>
      </c>
    </row>
    <row r="552" spans="1:24" ht="11.25">
      <c r="A552" s="5" t="s">
        <v>952</v>
      </c>
      <c r="B552" s="5" t="s">
        <v>953</v>
      </c>
      <c r="C552" s="6" t="s">
        <v>954</v>
      </c>
      <c r="D552" s="6"/>
      <c r="E552" s="6"/>
      <c r="F552" s="5" t="s">
        <v>776</v>
      </c>
      <c r="G552" s="5"/>
      <c r="H552" s="6" t="s">
        <v>1254</v>
      </c>
      <c r="I552" s="5">
        <v>1970</v>
      </c>
      <c r="J552" s="5">
        <v>6463</v>
      </c>
      <c r="K552" s="7" t="str">
        <f>HYPERLINK("http://www.centcols.org/util/geo/visuGen.php?code=US-WY-1970","US-WY-1970")</f>
        <v>US-WY-1970</v>
      </c>
      <c r="L552" s="8" t="s">
        <v>955</v>
      </c>
      <c r="M552" s="8" t="s">
        <v>3222</v>
      </c>
      <c r="N552" s="8">
        <v>15</v>
      </c>
      <c r="O552" s="8">
        <v>99</v>
      </c>
      <c r="P552" s="8"/>
      <c r="Q552" s="5">
        <v>-105.300108</v>
      </c>
      <c r="R552" s="5">
        <v>42.079183</v>
      </c>
      <c r="S552" s="5" t="s">
        <v>956</v>
      </c>
      <c r="T552" s="5" t="s">
        <v>957</v>
      </c>
      <c r="U552" s="8"/>
      <c r="V552" s="8"/>
      <c r="W552" s="8" t="s">
        <v>2966</v>
      </c>
      <c r="X552" s="8" t="s">
        <v>2967</v>
      </c>
    </row>
    <row r="553" spans="1:24" ht="11.25">
      <c r="A553" s="5" t="s">
        <v>958</v>
      </c>
      <c r="B553" s="5" t="s">
        <v>959</v>
      </c>
      <c r="C553" s="6" t="s">
        <v>960</v>
      </c>
      <c r="D553" s="6"/>
      <c r="E553" s="6"/>
      <c r="F553" s="5" t="s">
        <v>776</v>
      </c>
      <c r="G553" s="5"/>
      <c r="H553" s="6" t="s">
        <v>2979</v>
      </c>
      <c r="I553" s="5">
        <v>1987</v>
      </c>
      <c r="J553" s="5">
        <v>6519</v>
      </c>
      <c r="K553" s="7" t="str">
        <f>HYPERLINK("http://www.centcols.org/util/geo/visuGen.php?code=US-WY-1987","US-WY-1987")</f>
        <v>US-WY-1987</v>
      </c>
      <c r="L553" s="8" t="s">
        <v>961</v>
      </c>
      <c r="M553" s="9" t="s">
        <v>962</v>
      </c>
      <c r="N553" s="8">
        <v>0</v>
      </c>
      <c r="O553" s="8">
        <v>0</v>
      </c>
      <c r="P553" s="8"/>
      <c r="Q553" s="5">
        <v>-107.7163878</v>
      </c>
      <c r="R553" s="5">
        <v>41.2605621</v>
      </c>
      <c r="S553" s="5" t="s">
        <v>963</v>
      </c>
      <c r="T553" s="5" t="s">
        <v>964</v>
      </c>
      <c r="U553" s="8"/>
      <c r="V553" s="8"/>
      <c r="W553" s="8" t="s">
        <v>2966</v>
      </c>
      <c r="X553" s="8" t="s">
        <v>2991</v>
      </c>
    </row>
    <row r="554" spans="1:24" ht="11.25">
      <c r="A554" s="5" t="s">
        <v>965</v>
      </c>
      <c r="B554" s="5" t="s">
        <v>966</v>
      </c>
      <c r="C554" s="6" t="s">
        <v>3885</v>
      </c>
      <c r="D554" s="6"/>
      <c r="E554" s="6"/>
      <c r="F554" s="5" t="s">
        <v>776</v>
      </c>
      <c r="G554" s="5"/>
      <c r="H554" s="6" t="s">
        <v>3642</v>
      </c>
      <c r="I554" s="5">
        <v>1996</v>
      </c>
      <c r="J554" s="5">
        <v>6548</v>
      </c>
      <c r="K554" s="7" t="str">
        <f>HYPERLINK("http://www.centcols.org/util/geo/visuGen.php?code=US-WY-1996","US-WY-1996")</f>
        <v>US-WY-1996</v>
      </c>
      <c r="L554" s="8" t="s">
        <v>967</v>
      </c>
      <c r="M554" s="8" t="s">
        <v>2988</v>
      </c>
      <c r="N554" s="8">
        <v>10</v>
      </c>
      <c r="O554" s="8">
        <v>35</v>
      </c>
      <c r="P554" s="8"/>
      <c r="Q554" s="5">
        <v>-108.5130579</v>
      </c>
      <c r="R554" s="5">
        <v>42.640222</v>
      </c>
      <c r="S554" s="5" t="s">
        <v>968</v>
      </c>
      <c r="T554" s="5" t="s">
        <v>969</v>
      </c>
      <c r="U554" s="8"/>
      <c r="V554" s="8"/>
      <c r="W554" s="8" t="s">
        <v>2966</v>
      </c>
      <c r="X554" s="8" t="s">
        <v>795</v>
      </c>
    </row>
    <row r="555" spans="1:24" ht="11.25">
      <c r="A555" s="5" t="s">
        <v>970</v>
      </c>
      <c r="B555" s="5" t="s">
        <v>971</v>
      </c>
      <c r="C555" s="6" t="s">
        <v>972</v>
      </c>
      <c r="D555" s="6"/>
      <c r="E555" s="6"/>
      <c r="F555" s="5" t="s">
        <v>776</v>
      </c>
      <c r="G555" s="5"/>
      <c r="H555" s="6" t="s">
        <v>2979</v>
      </c>
      <c r="I555" s="5">
        <v>2174</v>
      </c>
      <c r="J555" s="5">
        <v>7132</v>
      </c>
      <c r="K555" s="7" t="str">
        <f>HYPERLINK("http://www.centcols.org/util/geo/visuGen.php?code=US-WY-2174a","US-WY-2174a")</f>
        <v>US-WY-2174a</v>
      </c>
      <c r="L555" s="8" t="s">
        <v>973</v>
      </c>
      <c r="M555" s="8" t="s">
        <v>3222</v>
      </c>
      <c r="N555" s="8">
        <v>15</v>
      </c>
      <c r="O555" s="8">
        <v>99</v>
      </c>
      <c r="P555" s="8"/>
      <c r="Q555" s="5">
        <v>-107.700648</v>
      </c>
      <c r="R555" s="5">
        <v>41.8118721</v>
      </c>
      <c r="S555" s="5" t="s">
        <v>974</v>
      </c>
      <c r="T555" s="5" t="s">
        <v>975</v>
      </c>
      <c r="U555" s="8"/>
      <c r="V555" s="8"/>
      <c r="W555" s="8" t="s">
        <v>2966</v>
      </c>
      <c r="X555" s="8" t="s">
        <v>2967</v>
      </c>
    </row>
    <row r="556" spans="1:24" ht="11.25">
      <c r="A556" s="5" t="s">
        <v>976</v>
      </c>
      <c r="B556" s="5" t="s">
        <v>977</v>
      </c>
      <c r="C556" s="6" t="s">
        <v>978</v>
      </c>
      <c r="D556" s="6"/>
      <c r="E556" s="6"/>
      <c r="F556" s="5" t="s">
        <v>776</v>
      </c>
      <c r="G556" s="5"/>
      <c r="H556" s="6" t="s">
        <v>2979</v>
      </c>
      <c r="I556" s="5">
        <v>2178</v>
      </c>
      <c r="J556" s="5">
        <v>7146</v>
      </c>
      <c r="K556" s="7" t="str">
        <f>HYPERLINK("http://www.centcols.org/util/geo/visuGen.php?code=US-WY-2178","US-WY-2178")</f>
        <v>US-WY-2178</v>
      </c>
      <c r="L556" s="8" t="s">
        <v>2979</v>
      </c>
      <c r="M556" s="8" t="s">
        <v>3113</v>
      </c>
      <c r="N556" s="8">
        <v>10</v>
      </c>
      <c r="O556" s="8">
        <v>35</v>
      </c>
      <c r="P556" s="8"/>
      <c r="Q556" s="5">
        <v>-106.4523992</v>
      </c>
      <c r="R556" s="5">
        <v>41.8343867</v>
      </c>
      <c r="S556" s="5" t="s">
        <v>979</v>
      </c>
      <c r="T556" s="5" t="s">
        <v>980</v>
      </c>
      <c r="U556" s="8"/>
      <c r="V556" s="8"/>
      <c r="W556" s="8" t="s">
        <v>2966</v>
      </c>
      <c r="X556" s="8" t="s">
        <v>2548</v>
      </c>
    </row>
    <row r="557" spans="1:24" ht="11.25">
      <c r="A557" s="5" t="s">
        <v>981</v>
      </c>
      <c r="B557" s="5" t="s">
        <v>982</v>
      </c>
      <c r="C557" s="6" t="s">
        <v>983</v>
      </c>
      <c r="D557" s="6"/>
      <c r="E557" s="6"/>
      <c r="F557" s="5" t="s">
        <v>776</v>
      </c>
      <c r="G557" s="5"/>
      <c r="H557" s="6" t="s">
        <v>3834</v>
      </c>
      <c r="I557" s="5">
        <v>2185</v>
      </c>
      <c r="J557" s="5">
        <v>7169</v>
      </c>
      <c r="K557" s="7" t="str">
        <f>HYPERLINK("http://www.centcols.org/util/geo/visuGen.php?code=US-WY-2185","US-WY-2185")</f>
        <v>US-WY-2185</v>
      </c>
      <c r="L557" s="8" t="s">
        <v>984</v>
      </c>
      <c r="M557" s="9" t="s">
        <v>985</v>
      </c>
      <c r="N557" s="8">
        <v>0</v>
      </c>
      <c r="O557" s="8">
        <v>0</v>
      </c>
      <c r="P557" s="8"/>
      <c r="Q557" s="5">
        <v>-110.7226615</v>
      </c>
      <c r="R557" s="5">
        <v>44.9354456</v>
      </c>
      <c r="S557" s="5" t="s">
        <v>986</v>
      </c>
      <c r="T557" s="5" t="s">
        <v>987</v>
      </c>
      <c r="U557" s="8"/>
      <c r="V557" s="8" t="s">
        <v>988</v>
      </c>
      <c r="W557" s="8" t="s">
        <v>2966</v>
      </c>
      <c r="X557" s="8" t="s">
        <v>2991</v>
      </c>
    </row>
    <row r="558" spans="1:24" ht="11.25">
      <c r="A558" s="5" t="s">
        <v>989</v>
      </c>
      <c r="B558" s="5" t="s">
        <v>990</v>
      </c>
      <c r="C558" s="6" t="s">
        <v>991</v>
      </c>
      <c r="D558" s="6"/>
      <c r="E558" s="6"/>
      <c r="F558" s="5" t="s">
        <v>776</v>
      </c>
      <c r="G558" s="5"/>
      <c r="H558" s="6" t="s">
        <v>3642</v>
      </c>
      <c r="I558" s="5">
        <v>2194</v>
      </c>
      <c r="J558" s="5">
        <v>7198</v>
      </c>
      <c r="K558" s="7" t="str">
        <f>HYPERLINK("http://www.centcols.org/util/geo/visuGen.php?code=US-WY-2194","US-WY-2194")</f>
        <v>US-WY-2194</v>
      </c>
      <c r="L558" s="8" t="s">
        <v>992</v>
      </c>
      <c r="M558" s="8" t="s">
        <v>2988</v>
      </c>
      <c r="N558" s="8">
        <v>10</v>
      </c>
      <c r="O558" s="8">
        <v>35</v>
      </c>
      <c r="P558" s="8"/>
      <c r="Q558" s="5">
        <v>-107.933308</v>
      </c>
      <c r="R558" s="5">
        <v>42.7387221</v>
      </c>
      <c r="S558" s="5" t="s">
        <v>993</v>
      </c>
      <c r="T558" s="5" t="s">
        <v>994</v>
      </c>
      <c r="U558" s="8"/>
      <c r="V558" s="8"/>
      <c r="W558" s="8" t="s">
        <v>2966</v>
      </c>
      <c r="X558" s="8" t="s">
        <v>795</v>
      </c>
    </row>
    <row r="559" spans="1:24" ht="11.25">
      <c r="A559" s="5" t="s">
        <v>995</v>
      </c>
      <c r="B559" s="5" t="s">
        <v>996</v>
      </c>
      <c r="C559" s="6" t="s">
        <v>997</v>
      </c>
      <c r="D559" s="6"/>
      <c r="E559" s="6"/>
      <c r="F559" s="5" t="s">
        <v>776</v>
      </c>
      <c r="G559" s="5"/>
      <c r="H559" s="6" t="s">
        <v>998</v>
      </c>
      <c r="I559" s="5">
        <v>2200</v>
      </c>
      <c r="J559" s="5">
        <v>7218</v>
      </c>
      <c r="K559" s="7" t="str">
        <f>HYPERLINK("http://www.centcols.org/util/geo/visuGen.php?code=US-WY-2200","US-WY-2200")</f>
        <v>US-WY-2200</v>
      </c>
      <c r="L559" s="8" t="s">
        <v>999</v>
      </c>
      <c r="M559" s="8" t="s">
        <v>3222</v>
      </c>
      <c r="N559" s="8">
        <v>15</v>
      </c>
      <c r="O559" s="8">
        <v>99</v>
      </c>
      <c r="P559" s="8"/>
      <c r="Q559" s="5">
        <v>-110.370198</v>
      </c>
      <c r="R559" s="5">
        <v>43.838122</v>
      </c>
      <c r="S559" s="5" t="s">
        <v>1000</v>
      </c>
      <c r="T559" s="5" t="s">
        <v>1001</v>
      </c>
      <c r="U559" s="8"/>
      <c r="V559" s="8"/>
      <c r="W559" s="8" t="s">
        <v>2966</v>
      </c>
      <c r="X559" s="8" t="s">
        <v>2967</v>
      </c>
    </row>
    <row r="560" spans="1:24" ht="11.25">
      <c r="A560" s="5" t="s">
        <v>1002</v>
      </c>
      <c r="B560" s="5" t="s">
        <v>1003</v>
      </c>
      <c r="C560" s="6" t="s">
        <v>1004</v>
      </c>
      <c r="D560" s="6"/>
      <c r="E560" s="6"/>
      <c r="F560" s="5" t="s">
        <v>776</v>
      </c>
      <c r="G560" s="5"/>
      <c r="H560" s="6" t="s">
        <v>1254</v>
      </c>
      <c r="I560" s="5">
        <v>2211</v>
      </c>
      <c r="J560" s="5">
        <v>7254</v>
      </c>
      <c r="K560" s="7" t="str">
        <f>HYPERLINK("http://www.centcols.org/util/geo/visuGen.php?code=US-WY-2211","US-WY-2211")</f>
        <v>US-WY-2211</v>
      </c>
      <c r="L560" s="8" t="s">
        <v>1005</v>
      </c>
      <c r="M560" s="9" t="s">
        <v>1006</v>
      </c>
      <c r="N560" s="8">
        <v>0</v>
      </c>
      <c r="O560" s="8">
        <v>0</v>
      </c>
      <c r="P560" s="8"/>
      <c r="Q560" s="5">
        <v>-105.7731479</v>
      </c>
      <c r="R560" s="5">
        <v>41.214672</v>
      </c>
      <c r="S560" s="5" t="s">
        <v>1007</v>
      </c>
      <c r="T560" s="5" t="s">
        <v>1008</v>
      </c>
      <c r="U560" s="8"/>
      <c r="V560" s="8"/>
      <c r="W560" s="8" t="s">
        <v>2966</v>
      </c>
      <c r="X560" s="8" t="s">
        <v>2967</v>
      </c>
    </row>
    <row r="561" spans="1:24" ht="11.25">
      <c r="A561" s="5" t="s">
        <v>1009</v>
      </c>
      <c r="B561" s="5" t="s">
        <v>1010</v>
      </c>
      <c r="C561" s="6" t="s">
        <v>1011</v>
      </c>
      <c r="D561" s="6"/>
      <c r="E561" s="6"/>
      <c r="F561" s="5" t="s">
        <v>776</v>
      </c>
      <c r="G561" s="5"/>
      <c r="H561" s="6" t="s">
        <v>1254</v>
      </c>
      <c r="I561" s="5">
        <v>2224</v>
      </c>
      <c r="J561" s="5">
        <v>7296</v>
      </c>
      <c r="K561" s="7" t="str">
        <f>HYPERLINK("http://www.centcols.org/util/geo/visuGen.php?code=US-WY-2224","US-WY-2224")</f>
        <v>US-WY-2224</v>
      </c>
      <c r="L561" s="8" t="s">
        <v>1012</v>
      </c>
      <c r="M561" s="8" t="s">
        <v>2962</v>
      </c>
      <c r="N561" s="8">
        <v>20</v>
      </c>
      <c r="O561" s="8">
        <v>99</v>
      </c>
      <c r="P561" s="8"/>
      <c r="Q561" s="5">
        <v>-105.5421979</v>
      </c>
      <c r="R561" s="5">
        <v>41.4169121</v>
      </c>
      <c r="S561" s="5" t="s">
        <v>1013</v>
      </c>
      <c r="T561" s="5" t="s">
        <v>1014</v>
      </c>
      <c r="U561" s="8"/>
      <c r="V561" s="8"/>
      <c r="W561" s="8" t="s">
        <v>2966</v>
      </c>
      <c r="X561" s="8" t="s">
        <v>2967</v>
      </c>
    </row>
    <row r="562" spans="1:24" ht="11.25">
      <c r="A562" s="5" t="s">
        <v>1015</v>
      </c>
      <c r="B562" s="5" t="s">
        <v>1016</v>
      </c>
      <c r="C562" s="6" t="s">
        <v>1017</v>
      </c>
      <c r="D562" s="6"/>
      <c r="E562" s="6"/>
      <c r="F562" s="5" t="s">
        <v>776</v>
      </c>
      <c r="G562" s="5"/>
      <c r="H562" s="6" t="s">
        <v>998</v>
      </c>
      <c r="I562" s="5">
        <v>2232</v>
      </c>
      <c r="J562" s="5">
        <v>7323</v>
      </c>
      <c r="K562" s="7" t="str">
        <f>HYPERLINK("http://www.centcols.org/util/geo/visuGen.php?code=US-WY-2232","US-WY-2232")</f>
        <v>US-WY-2232</v>
      </c>
      <c r="L562" s="8" t="s">
        <v>1018</v>
      </c>
      <c r="M562" s="8" t="s">
        <v>3222</v>
      </c>
      <c r="N562" s="8">
        <v>15</v>
      </c>
      <c r="O562" s="8">
        <v>99</v>
      </c>
      <c r="P562" s="8" t="s">
        <v>3338</v>
      </c>
      <c r="Q562" s="5">
        <v>-110.4833079</v>
      </c>
      <c r="R562" s="5">
        <v>43.8134922</v>
      </c>
      <c r="S562" s="5" t="s">
        <v>1019</v>
      </c>
      <c r="T562" s="5" t="s">
        <v>1020</v>
      </c>
      <c r="U562" s="8"/>
      <c r="V562" s="8" t="s">
        <v>1021</v>
      </c>
      <c r="W562" s="8" t="s">
        <v>2966</v>
      </c>
      <c r="X562" s="8" t="s">
        <v>2967</v>
      </c>
    </row>
    <row r="563" spans="1:24" ht="11.25">
      <c r="A563" s="5" t="s">
        <v>1022</v>
      </c>
      <c r="B563" s="5" t="s">
        <v>1023</v>
      </c>
      <c r="C563" s="6" t="s">
        <v>1024</v>
      </c>
      <c r="D563" s="6"/>
      <c r="E563" s="6"/>
      <c r="F563" s="5" t="s">
        <v>776</v>
      </c>
      <c r="G563" s="5"/>
      <c r="H563" s="6" t="s">
        <v>998</v>
      </c>
      <c r="I563" s="5">
        <v>2232</v>
      </c>
      <c r="J563" s="5">
        <v>7323</v>
      </c>
      <c r="K563" s="7" t="str">
        <f>HYPERLINK("http://www.centcols.org/util/geo/visuGen.php?code=US-WY-2232a","US-WY-2232a")</f>
        <v>US-WY-2232a</v>
      </c>
      <c r="L563" s="8" t="s">
        <v>1025</v>
      </c>
      <c r="M563" s="8" t="s">
        <v>3222</v>
      </c>
      <c r="N563" s="8">
        <v>15</v>
      </c>
      <c r="O563" s="8">
        <v>99</v>
      </c>
      <c r="P563" s="8" t="s">
        <v>3338</v>
      </c>
      <c r="Q563" s="5">
        <v>-110.8930539</v>
      </c>
      <c r="R563" s="5">
        <v>43.936946</v>
      </c>
      <c r="S563" s="5" t="s">
        <v>1026</v>
      </c>
      <c r="T563" s="5" t="s">
        <v>1027</v>
      </c>
      <c r="U563" s="8"/>
      <c r="V563" s="8" t="s">
        <v>1028</v>
      </c>
      <c r="W563" s="8" t="s">
        <v>2966</v>
      </c>
      <c r="X563" s="8" t="s">
        <v>2991</v>
      </c>
    </row>
    <row r="564" spans="1:24" ht="11.25">
      <c r="A564" s="5" t="s">
        <v>1029</v>
      </c>
      <c r="B564" s="5" t="s">
        <v>1030</v>
      </c>
      <c r="C564" s="6" t="s">
        <v>1031</v>
      </c>
      <c r="D564" s="6"/>
      <c r="E564" s="6"/>
      <c r="F564" s="5" t="s">
        <v>776</v>
      </c>
      <c r="G564" s="5"/>
      <c r="H564" s="6" t="s">
        <v>871</v>
      </c>
      <c r="I564" s="5">
        <v>2272</v>
      </c>
      <c r="J564" s="5">
        <v>7454</v>
      </c>
      <c r="K564" s="7" t="str">
        <f>HYPERLINK("http://www.centcols.org/util/geo/visuGen.php?code=US-WY-2272","US-WY-2272")</f>
        <v>US-WY-2272</v>
      </c>
      <c r="L564" s="8" t="s">
        <v>1032</v>
      </c>
      <c r="M564" s="8" t="s">
        <v>2988</v>
      </c>
      <c r="N564" s="8">
        <v>10</v>
      </c>
      <c r="O564" s="8">
        <v>35</v>
      </c>
      <c r="P564" s="8"/>
      <c r="Q564" s="5">
        <v>-107.384719</v>
      </c>
      <c r="R564" s="5">
        <v>42.812342</v>
      </c>
      <c r="S564" s="5" t="s">
        <v>1033</v>
      </c>
      <c r="T564" s="5" t="s">
        <v>1034</v>
      </c>
      <c r="U564" s="8"/>
      <c r="V564" s="8"/>
      <c r="W564" s="8" t="s">
        <v>2966</v>
      </c>
      <c r="X564" s="8" t="s">
        <v>795</v>
      </c>
    </row>
    <row r="565" spans="1:24" ht="11.25">
      <c r="A565" s="5" t="s">
        <v>1035</v>
      </c>
      <c r="B565" s="5" t="s">
        <v>1036</v>
      </c>
      <c r="C565" s="6" t="s">
        <v>1037</v>
      </c>
      <c r="D565" s="6"/>
      <c r="E565" s="6"/>
      <c r="F565" s="5" t="s">
        <v>776</v>
      </c>
      <c r="G565" s="5"/>
      <c r="H565" s="6" t="s">
        <v>1038</v>
      </c>
      <c r="I565" s="5">
        <v>2334</v>
      </c>
      <c r="J565" s="5">
        <v>7657</v>
      </c>
      <c r="K565" s="7" t="str">
        <f>HYPERLINK("http://www.centcols.org/util/geo/visuGen.php?code=US-WY-2334","US-WY-2334")</f>
        <v>US-WY-2334</v>
      </c>
      <c r="L565" s="8" t="s">
        <v>1039</v>
      </c>
      <c r="M565" s="9" t="s">
        <v>1040</v>
      </c>
      <c r="N565" s="8">
        <v>0</v>
      </c>
      <c r="O565" s="8">
        <v>0</v>
      </c>
      <c r="P565" s="8"/>
      <c r="Q565" s="5">
        <v>-107.1673112</v>
      </c>
      <c r="R565" s="5">
        <v>44.621914</v>
      </c>
      <c r="S565" s="5" t="s">
        <v>1041</v>
      </c>
      <c r="T565" s="5" t="s">
        <v>1042</v>
      </c>
      <c r="U565" s="8"/>
      <c r="V565" s="8"/>
      <c r="W565" s="8" t="s">
        <v>2966</v>
      </c>
      <c r="X565" s="8" t="s">
        <v>2967</v>
      </c>
    </row>
    <row r="566" spans="1:24" ht="11.25">
      <c r="A566" s="5" t="s">
        <v>1043</v>
      </c>
      <c r="B566" s="5" t="s">
        <v>1044</v>
      </c>
      <c r="C566" s="6" t="s">
        <v>1045</v>
      </c>
      <c r="D566" s="6"/>
      <c r="E566" s="6"/>
      <c r="F566" s="5" t="s">
        <v>776</v>
      </c>
      <c r="G566" s="5"/>
      <c r="H566" s="6" t="s">
        <v>1046</v>
      </c>
      <c r="I566" s="5">
        <v>2415</v>
      </c>
      <c r="J566" s="5">
        <v>7923</v>
      </c>
      <c r="K566" s="7" t="str">
        <f>HYPERLINK("http://www.centcols.org/util/geo/visuGen.php?code=US-WY-2415","US-WY-2415")</f>
        <v>US-WY-2415</v>
      </c>
      <c r="L566" s="8" t="s">
        <v>1047</v>
      </c>
      <c r="M566" s="9" t="s">
        <v>1048</v>
      </c>
      <c r="N566" s="8">
        <v>0</v>
      </c>
      <c r="O566" s="8">
        <v>0</v>
      </c>
      <c r="P566" s="8"/>
      <c r="Q566" s="5">
        <v>-110.1997779</v>
      </c>
      <c r="R566" s="5">
        <v>43.132952</v>
      </c>
      <c r="S566" s="5" t="s">
        <v>1049</v>
      </c>
      <c r="T566" s="5" t="s">
        <v>1050</v>
      </c>
      <c r="U566" s="8"/>
      <c r="V566" s="8"/>
      <c r="W566" s="8" t="s">
        <v>2966</v>
      </c>
      <c r="X566" s="8" t="s">
        <v>2967</v>
      </c>
    </row>
    <row r="567" spans="1:24" ht="11.25">
      <c r="A567" s="5" t="s">
        <v>1051</v>
      </c>
      <c r="B567" s="5" t="s">
        <v>1052</v>
      </c>
      <c r="C567" s="6" t="s">
        <v>1053</v>
      </c>
      <c r="D567" s="6"/>
      <c r="E567" s="6"/>
      <c r="F567" s="5" t="s">
        <v>776</v>
      </c>
      <c r="G567" s="5"/>
      <c r="H567" s="6" t="s">
        <v>818</v>
      </c>
      <c r="I567" s="5">
        <v>2440</v>
      </c>
      <c r="J567" s="5">
        <v>8005</v>
      </c>
      <c r="K567" s="7" t="str">
        <f>HYPERLINK("http://www.centcols.org/util/geo/visuGen.php?code=US-WY-2440","US-WY-2440")</f>
        <v>US-WY-2440</v>
      </c>
      <c r="L567" s="8" t="s">
        <v>1054</v>
      </c>
      <c r="M567" s="8" t="s">
        <v>3113</v>
      </c>
      <c r="N567" s="8">
        <v>10</v>
      </c>
      <c r="O567" s="8">
        <v>35</v>
      </c>
      <c r="P567" s="8"/>
      <c r="Q567" s="5">
        <v>-106.9564773</v>
      </c>
      <c r="R567" s="5">
        <v>43.8593663</v>
      </c>
      <c r="S567" s="5" t="s">
        <v>1055</v>
      </c>
      <c r="T567" s="5" t="s">
        <v>1056</v>
      </c>
      <c r="U567" s="8"/>
      <c r="V567" s="8"/>
      <c r="W567" s="8" t="s">
        <v>2966</v>
      </c>
      <c r="X567" s="8" t="s">
        <v>3202</v>
      </c>
    </row>
    <row r="568" spans="1:24" ht="11.25">
      <c r="A568" s="5" t="s">
        <v>1057</v>
      </c>
      <c r="B568" s="5" t="s">
        <v>1058</v>
      </c>
      <c r="C568" s="6" t="s">
        <v>1059</v>
      </c>
      <c r="D568" s="6"/>
      <c r="E568" s="6"/>
      <c r="F568" s="5" t="s">
        <v>776</v>
      </c>
      <c r="G568" s="5"/>
      <c r="H568" s="6" t="s">
        <v>1254</v>
      </c>
      <c r="I568" s="5">
        <v>2537</v>
      </c>
      <c r="J568" s="5">
        <v>8323</v>
      </c>
      <c r="K568" s="7" t="str">
        <f>HYPERLINK("http://www.centcols.org/util/geo/visuGen.php?code=US-WY-2537a","US-WY-2537a")</f>
        <v>US-WY-2537a</v>
      </c>
      <c r="L568" s="8" t="s">
        <v>1060</v>
      </c>
      <c r="M568" s="9" t="s">
        <v>1061</v>
      </c>
      <c r="N568" s="8">
        <v>0</v>
      </c>
      <c r="O568" s="8">
        <v>0</v>
      </c>
      <c r="P568" s="8"/>
      <c r="Q568" s="5">
        <v>-105.379638</v>
      </c>
      <c r="R568" s="5">
        <v>41.240162</v>
      </c>
      <c r="S568" s="5" t="s">
        <v>1062</v>
      </c>
      <c r="T568" s="5" t="s">
        <v>1063</v>
      </c>
      <c r="U568" s="8"/>
      <c r="V568" s="8"/>
      <c r="W568" s="8" t="s">
        <v>2966</v>
      </c>
      <c r="X568" s="8" t="s">
        <v>2967</v>
      </c>
    </row>
    <row r="569" spans="1:24" ht="11.25">
      <c r="A569" s="5" t="s">
        <v>1064</v>
      </c>
      <c r="B569" s="5" t="s">
        <v>1065</v>
      </c>
      <c r="C569" s="6" t="s">
        <v>1066</v>
      </c>
      <c r="D569" s="6"/>
      <c r="E569" s="6"/>
      <c r="F569" s="5" t="s">
        <v>776</v>
      </c>
      <c r="G569" s="5"/>
      <c r="H569" s="6" t="s">
        <v>1038</v>
      </c>
      <c r="I569" s="5">
        <v>2542</v>
      </c>
      <c r="J569" s="5">
        <v>8340</v>
      </c>
      <c r="K569" s="7" t="str">
        <f>HYPERLINK("http://www.centcols.org/util/geo/visuGen.php?code=US-WY-2542","US-WY-2542")</f>
        <v>US-WY-2542</v>
      </c>
      <c r="L569" s="8" t="s">
        <v>1067</v>
      </c>
      <c r="M569" s="9" t="s">
        <v>1068</v>
      </c>
      <c r="N569" s="8">
        <v>0</v>
      </c>
      <c r="O569" s="8">
        <v>0</v>
      </c>
      <c r="P569" s="8"/>
      <c r="Q569" s="5">
        <v>-107.434968</v>
      </c>
      <c r="R569" s="5">
        <v>44.7878121</v>
      </c>
      <c r="S569" s="5" t="s">
        <v>1069</v>
      </c>
      <c r="T569" s="5" t="s">
        <v>1070</v>
      </c>
      <c r="U569" s="8"/>
      <c r="V569" s="8" t="s">
        <v>1071</v>
      </c>
      <c r="W569" s="8" t="s">
        <v>2966</v>
      </c>
      <c r="X569" s="8" t="s">
        <v>2967</v>
      </c>
    </row>
    <row r="570" spans="1:24" ht="11.25">
      <c r="A570" s="5" t="s">
        <v>1072</v>
      </c>
      <c r="B570" s="5" t="s">
        <v>1073</v>
      </c>
      <c r="C570" s="6" t="s">
        <v>1074</v>
      </c>
      <c r="D570" s="6"/>
      <c r="E570" s="6"/>
      <c r="F570" s="5" t="s">
        <v>776</v>
      </c>
      <c r="G570" s="5"/>
      <c r="H570" s="6" t="s">
        <v>1254</v>
      </c>
      <c r="I570" s="5">
        <v>2558</v>
      </c>
      <c r="J570" s="5">
        <v>8392</v>
      </c>
      <c r="K570" s="7" t="str">
        <f>HYPERLINK("http://www.centcols.org/util/geo/visuGen.php?code=US-WY-2558","US-WY-2558")</f>
        <v>US-WY-2558</v>
      </c>
      <c r="L570" s="8" t="s">
        <v>1060</v>
      </c>
      <c r="M570" s="8" t="s">
        <v>2962</v>
      </c>
      <c r="N570" s="8">
        <v>20</v>
      </c>
      <c r="O570" s="8">
        <v>99</v>
      </c>
      <c r="P570" s="8"/>
      <c r="Q570" s="5">
        <v>-105.398598</v>
      </c>
      <c r="R570" s="5">
        <v>41.166932</v>
      </c>
      <c r="S570" s="5" t="s">
        <v>1075</v>
      </c>
      <c r="T570" s="5" t="s">
        <v>1076</v>
      </c>
      <c r="U570" s="8"/>
      <c r="V570" s="8"/>
      <c r="W570" s="8" t="s">
        <v>2966</v>
      </c>
      <c r="X570" s="8" t="s">
        <v>2967</v>
      </c>
    </row>
    <row r="571" spans="1:24" ht="11.25">
      <c r="A571" s="5" t="s">
        <v>1077</v>
      </c>
      <c r="B571" s="5" t="s">
        <v>1078</v>
      </c>
      <c r="C571" s="6" t="s">
        <v>1079</v>
      </c>
      <c r="D571" s="6"/>
      <c r="E571" s="6"/>
      <c r="F571" s="5" t="s">
        <v>776</v>
      </c>
      <c r="G571" s="5"/>
      <c r="H571" s="6" t="s">
        <v>1254</v>
      </c>
      <c r="I571" s="5">
        <v>2637</v>
      </c>
      <c r="J571" s="5">
        <v>8651</v>
      </c>
      <c r="K571" s="7" t="str">
        <f>HYPERLINK("http://www.centcols.org/util/geo/visuGen.php?code=US-WY-2637a","US-WY-2637a")</f>
        <v>US-WY-2637a</v>
      </c>
      <c r="L571" s="8" t="s">
        <v>1060</v>
      </c>
      <c r="M571" s="9" t="s">
        <v>1080</v>
      </c>
      <c r="N571" s="8">
        <v>0</v>
      </c>
      <c r="O571" s="8">
        <v>0</v>
      </c>
      <c r="P571" s="8"/>
      <c r="Q571" s="5">
        <v>-105.4371579</v>
      </c>
      <c r="R571" s="5">
        <v>41.2401721</v>
      </c>
      <c r="S571" s="5" t="s">
        <v>1081</v>
      </c>
      <c r="T571" s="5" t="s">
        <v>1063</v>
      </c>
      <c r="U571" s="8"/>
      <c r="V571" s="9"/>
      <c r="W571" s="8" t="s">
        <v>2966</v>
      </c>
      <c r="X571" s="8" t="s">
        <v>3085</v>
      </c>
    </row>
    <row r="572" spans="1:24" ht="11.25">
      <c r="A572" s="5" t="s">
        <v>1082</v>
      </c>
      <c r="B572" s="5" t="s">
        <v>1083</v>
      </c>
      <c r="C572" s="6" t="s">
        <v>1084</v>
      </c>
      <c r="D572" s="6"/>
      <c r="E572" s="6"/>
      <c r="F572" s="5" t="s">
        <v>776</v>
      </c>
      <c r="G572" s="5"/>
      <c r="H572" s="6" t="s">
        <v>1046</v>
      </c>
      <c r="I572" s="5">
        <v>2771</v>
      </c>
      <c r="J572" s="5">
        <v>9091</v>
      </c>
      <c r="K572" s="7" t="str">
        <f>HYPERLINK("http://www.centcols.org/util/geo/visuGen.php?code=US-WY-2771","US-WY-2771")</f>
        <v>US-WY-2771</v>
      </c>
      <c r="L572" s="8" t="s">
        <v>1085</v>
      </c>
      <c r="M572" s="8" t="s">
        <v>3222</v>
      </c>
      <c r="N572" s="8">
        <v>15</v>
      </c>
      <c r="O572" s="8">
        <v>99</v>
      </c>
      <c r="P572" s="8"/>
      <c r="Q572" s="5">
        <v>-110.568748</v>
      </c>
      <c r="R572" s="5">
        <v>42.930812</v>
      </c>
      <c r="S572" s="5" t="s">
        <v>1086</v>
      </c>
      <c r="T572" s="5" t="s">
        <v>1087</v>
      </c>
      <c r="U572" s="8"/>
      <c r="V572" s="8"/>
      <c r="W572" s="8" t="s">
        <v>2966</v>
      </c>
      <c r="X572" s="8" t="s">
        <v>2548</v>
      </c>
    </row>
    <row r="573" spans="1:24" ht="11.25">
      <c r="A573" s="5" t="s">
        <v>1088</v>
      </c>
      <c r="B573" s="5" t="s">
        <v>1089</v>
      </c>
      <c r="C573" s="6" t="s">
        <v>1090</v>
      </c>
      <c r="D573" s="6"/>
      <c r="E573" s="6"/>
      <c r="F573" s="5" t="s">
        <v>776</v>
      </c>
      <c r="G573" s="5"/>
      <c r="H573" s="6" t="s">
        <v>998</v>
      </c>
      <c r="I573" s="5">
        <v>2912</v>
      </c>
      <c r="J573" s="5">
        <v>9554</v>
      </c>
      <c r="K573" s="7" t="str">
        <f>HYPERLINK("http://www.centcols.org/util/geo/visuGen.php?code=US-WY-2912","US-WY-2912")</f>
        <v>US-WY-2912</v>
      </c>
      <c r="L573" s="8" t="s">
        <v>1091</v>
      </c>
      <c r="M573" s="9"/>
      <c r="N573" s="8">
        <v>10</v>
      </c>
      <c r="O573" s="8">
        <v>35</v>
      </c>
      <c r="P573" s="8" t="s">
        <v>3338</v>
      </c>
      <c r="Q573" s="5">
        <v>-110.0682895</v>
      </c>
      <c r="R573" s="5">
        <v>43.753001</v>
      </c>
      <c r="S573" s="5" t="s">
        <v>1092</v>
      </c>
      <c r="T573" s="5" t="s">
        <v>1093</v>
      </c>
      <c r="U573" s="8"/>
      <c r="V573" s="8"/>
      <c r="W573" s="8" t="s">
        <v>2966</v>
      </c>
      <c r="X573" s="8" t="s">
        <v>3011</v>
      </c>
    </row>
    <row r="574" spans="1:24" ht="11.25">
      <c r="A574" s="5" t="s">
        <v>1094</v>
      </c>
      <c r="B574" s="5" t="s">
        <v>1095</v>
      </c>
      <c r="C574" s="6" t="s">
        <v>1096</v>
      </c>
      <c r="D574" s="6"/>
      <c r="E574" s="6"/>
      <c r="F574" s="5" t="s">
        <v>776</v>
      </c>
      <c r="G574" s="5"/>
      <c r="H574" s="6" t="s">
        <v>998</v>
      </c>
      <c r="I574" s="5">
        <v>3201</v>
      </c>
      <c r="J574" s="5">
        <v>10502</v>
      </c>
      <c r="K574" s="7" t="str">
        <f>HYPERLINK("http://www.centcols.org/util/geo/visuGen.php?code=US-WY-3201","US-WY-3201")</f>
        <v>US-WY-3201</v>
      </c>
      <c r="L574" s="8" t="s">
        <v>1097</v>
      </c>
      <c r="M574" s="8" t="s">
        <v>3222</v>
      </c>
      <c r="N574" s="8">
        <v>15</v>
      </c>
      <c r="O574" s="8">
        <v>99</v>
      </c>
      <c r="P574" s="8" t="s">
        <v>3338</v>
      </c>
      <c r="Q574" s="5">
        <v>-110.829358</v>
      </c>
      <c r="R574" s="5">
        <v>43.6871821</v>
      </c>
      <c r="S574" s="5" t="s">
        <v>1098</v>
      </c>
      <c r="T574" s="5" t="s">
        <v>1099</v>
      </c>
      <c r="U574" s="8"/>
      <c r="V574" s="8" t="s">
        <v>1021</v>
      </c>
      <c r="W574" s="8" t="s">
        <v>2966</v>
      </c>
      <c r="X574" s="8" t="s">
        <v>1100</v>
      </c>
    </row>
  </sheetData>
  <sheetProtection formatCells="0" formatColumns="0" formatRows="0" insertRows="0" insertHyperlinks="0" deleteRows="0" sort="0" autoFilter="0" pivotTables="0"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Schleppi</dc:creator>
  <cp:keywords/>
  <dc:description/>
  <cp:lastModifiedBy>Patrick Schleppi</cp:lastModifiedBy>
  <dcterms:created xsi:type="dcterms:W3CDTF">2018-07-02T18:29:02Z</dcterms:created>
  <dcterms:modified xsi:type="dcterms:W3CDTF">2018-07-02T19:37:41Z</dcterms:modified>
  <cp:category/>
  <cp:version/>
  <cp:contentType/>
  <cp:contentStatus/>
</cp:coreProperties>
</file>