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Non-reconnus" sheetId="1" r:id="rId1"/>
  </sheets>
  <definedNames/>
  <calcPr fullCalcOnLoad="1"/>
</workbook>
</file>

<file path=xl/comments1.xml><?xml version="1.0" encoding="utf-8"?>
<comments xmlns="http://schemas.openxmlformats.org/spreadsheetml/2006/main">
  <authors>
    <author>Philippe</author>
  </authors>
  <commentList>
    <comment ref="AA1" authorId="0">
      <text>
        <r>
          <rPr>
            <sz val="9"/>
            <rFont val="Tahoma"/>
            <family val="2"/>
          </rPr>
          <t>R = col refusé par le GT
S = col supprimé du Chauvot</t>
        </r>
      </text>
    </comment>
  </commentList>
</comments>
</file>

<file path=xl/sharedStrings.xml><?xml version="1.0" encoding="utf-8"?>
<sst xmlns="http://schemas.openxmlformats.org/spreadsheetml/2006/main" count="9656" uniqueCount="7031">
  <si>
    <t>327-F03-065-015</t>
  </si>
  <si>
    <t>D54/CV</t>
  </si>
  <si>
    <t>004°27'32.1"E</t>
  </si>
  <si>
    <t>46°01'14.6"N</t>
  </si>
  <si>
    <t>FR-69-0628</t>
  </si>
  <si>
    <t>Le Cruizon</t>
  </si>
  <si>
    <t>189-139</t>
  </si>
  <si>
    <t>620-5095-09-30</t>
  </si>
  <si>
    <t>327-G03-032-019</t>
  </si>
  <si>
    <t>D504/D20/CV/D49E</t>
  </si>
  <si>
    <t>004°33'43.1"E</t>
  </si>
  <si>
    <t>46°01'29.8"N</t>
  </si>
  <si>
    <t>FR-69-0657</t>
  </si>
  <si>
    <t>Le Parasoir</t>
  </si>
  <si>
    <t>182-146</t>
  </si>
  <si>
    <t>620-5095-02-37</t>
  </si>
  <si>
    <t>327-G03-027-023</t>
  </si>
  <si>
    <t>D44a/D504/D44</t>
  </si>
  <si>
    <t>004°33'11.4"E</t>
  </si>
  <si>
    <t>46°01'53.6"N</t>
  </si>
  <si>
    <t>FR-69-0730a</t>
  </si>
  <si>
    <t>Croix de Villard</t>
  </si>
  <si>
    <t>089-162</t>
  </si>
  <si>
    <t>610-5100-08-01</t>
  </si>
  <si>
    <t>327-F03-051-034</t>
  </si>
  <si>
    <t>D617/CV</t>
  </si>
  <si>
    <t>004°25'57.4"E</t>
  </si>
  <si>
    <t>46°02'45.0"N</t>
  </si>
  <si>
    <t>FR-69-0781</t>
  </si>
  <si>
    <t>Signy</t>
  </si>
  <si>
    <t>Col de Signy</t>
  </si>
  <si>
    <t>2931O</t>
  </si>
  <si>
    <t>054-(089)</t>
  </si>
  <si>
    <t>605-5070-27-49</t>
  </si>
  <si>
    <t>327-F05-027-113</t>
  </si>
  <si>
    <t>D4/D38</t>
  </si>
  <si>
    <t>004°23'09.8"E</t>
  </si>
  <si>
    <t>45°49'10.3"N</t>
  </si>
  <si>
    <t>FR-69-0845</t>
  </si>
  <si>
    <t>Accole</t>
  </si>
  <si>
    <t>2932E</t>
  </si>
  <si>
    <t>211-091</t>
  </si>
  <si>
    <t>620-5050-38-33</t>
  </si>
  <si>
    <t>327-G06-046-091</t>
  </si>
  <si>
    <t>D157</t>
  </si>
  <si>
    <t>004°35'16.7"E</t>
  </si>
  <si>
    <t>45°37'19.2"N</t>
  </si>
  <si>
    <t>L'intitulé n'est pas celui d'un col.</t>
  </si>
  <si>
    <t>FR-69-0846</t>
  </si>
  <si>
    <t>Grippe Loup</t>
  </si>
  <si>
    <t>Col de Grippe Loup</t>
  </si>
  <si>
    <t>(075)-089</t>
  </si>
  <si>
    <t>620-5050-32-30</t>
  </si>
  <si>
    <t>004°34'47.1"E</t>
  </si>
  <si>
    <t>45°37'12.3"N</t>
  </si>
  <si>
    <t>Le nom de ce col n'apparaît que sur un guide de randonnée pédestre. Le source a été jugée insuffisante.</t>
  </si>
  <si>
    <t>FR-70-1158</t>
  </si>
  <si>
    <t>Ballon de Servance</t>
  </si>
  <si>
    <t>Col du Ballon de Servance</t>
  </si>
  <si>
    <t>3520E</t>
  </si>
  <si>
    <t>(036)-136</t>
  </si>
  <si>
    <t>330-5295-44-40</t>
  </si>
  <si>
    <t>314-I06-060-116</t>
  </si>
  <si>
    <t>D16/CV</t>
  </si>
  <si>
    <t>006°47'16.4"E</t>
  </si>
  <si>
    <t>47°49'21.5"N</t>
  </si>
  <si>
    <t>Panneau posé pour valoriser la montée sans origine historique. Topographie très douteuse.</t>
  </si>
  <si>
    <t>FR-71-0421a</t>
  </si>
  <si>
    <t>Col du Loup</t>
  </si>
  <si>
    <t>2927E</t>
  </si>
  <si>
    <t>238-022</t>
  </si>
  <si>
    <t>625-5145-00-14</t>
  </si>
  <si>
    <t>320-H11-065-094</t>
  </si>
  <si>
    <t>D980</t>
  </si>
  <si>
    <t>004°37'40.7"E</t>
  </si>
  <si>
    <t>46°27'34.7"N</t>
  </si>
  <si>
    <t>Le document de référence a été jugé insuffisant pour aboutir à la reconnaissance de ce col.</t>
  </si>
  <si>
    <t>FR-71-0440</t>
  </si>
  <si>
    <t>Granges</t>
  </si>
  <si>
    <t>Col des Granges</t>
  </si>
  <si>
    <t>2928E</t>
  </si>
  <si>
    <t>225-192</t>
  </si>
  <si>
    <t>620-5140-37-34</t>
  </si>
  <si>
    <t>320-H11-056-074</t>
  </si>
  <si>
    <t>D152/CV</t>
  </si>
  <si>
    <t>004°36'36.6"E</t>
  </si>
  <si>
    <t>46°25'57.7"N</t>
  </si>
  <si>
    <t>FR-71-0470</t>
  </si>
  <si>
    <t>Mutte</t>
  </si>
  <si>
    <t>Col de la Mutte</t>
  </si>
  <si>
    <t>3028O</t>
  </si>
  <si>
    <t>008-156</t>
  </si>
  <si>
    <t>625-5135-47-50</t>
  </si>
  <si>
    <t>320-I11-011-050</t>
  </si>
  <si>
    <t>004°41'15.2"E</t>
  </si>
  <si>
    <t>46°24'02.8"N</t>
  </si>
  <si>
    <t>FR-71-0485</t>
  </si>
  <si>
    <t>Grands Gouillats</t>
  </si>
  <si>
    <t>Col des Grands Gouillats</t>
  </si>
  <si>
    <t>222-112</t>
  </si>
  <si>
    <t>620-5135-36-04</t>
  </si>
  <si>
    <t>320-H11-054-020</t>
  </si>
  <si>
    <t>004°36'23.0"E</t>
  </si>
  <si>
    <t>46°21'37.5"N</t>
  </si>
  <si>
    <t>L'étiquette collée est trop fantaisiste pour pouvoir valider ce col ex-nihilo.</t>
  </si>
  <si>
    <t>FR-71-0489a</t>
  </si>
  <si>
    <t>Croix Micot
Plaisir</t>
  </si>
  <si>
    <t>Col de la Croix Micot
Col du Plaisir</t>
  </si>
  <si>
    <t>230-006</t>
  </si>
  <si>
    <t>620-5140-42-48</t>
  </si>
  <si>
    <t>004°37'00.2"E</t>
  </si>
  <si>
    <t>46°26'44.4"N</t>
  </si>
  <si>
    <t>FR-71-0526</t>
  </si>
  <si>
    <t>2928O</t>
  </si>
  <si>
    <t>092-101</t>
  </si>
  <si>
    <t>610-5130-05-41</t>
  </si>
  <si>
    <t>320-G11-053-013</t>
  </si>
  <si>
    <t>004°26'11.4"E</t>
  </si>
  <si>
    <t>46°21'04.5"N</t>
  </si>
  <si>
    <t>"Le Pas" désigne un hameau. Pas de caractères topographiques d'un col.</t>
  </si>
  <si>
    <t>FR-71-0539</t>
  </si>
  <si>
    <t>Caprissot</t>
  </si>
  <si>
    <t>Col du Caprissot</t>
  </si>
  <si>
    <t>174-124</t>
  </si>
  <si>
    <t>590-5215-00-10</t>
  </si>
  <si>
    <t>320-F07-010-068</t>
  </si>
  <si>
    <t>D88/CV</t>
  </si>
  <si>
    <t>004°11'10.3"E</t>
  </si>
  <si>
    <t>47°05'29.1"N</t>
  </si>
  <si>
    <t>FR-71-0562</t>
  </si>
  <si>
    <t>Croix d'Allye</t>
  </si>
  <si>
    <t>Col de la Croix d'Allye</t>
  </si>
  <si>
    <t>177-119</t>
  </si>
  <si>
    <t>590-5215-03-05</t>
  </si>
  <si>
    <t>320-F07-012-064</t>
  </si>
  <si>
    <t>004°11'25.2"E</t>
  </si>
  <si>
    <t>47°05'11.8"N</t>
  </si>
  <si>
    <t>FR-71-0563</t>
  </si>
  <si>
    <t>Blanchots</t>
  </si>
  <si>
    <t>Col des Blanchots</t>
  </si>
  <si>
    <t>2925O</t>
  </si>
  <si>
    <t>005-122</t>
  </si>
  <si>
    <t>600-5195-07-10</t>
  </si>
  <si>
    <t>320-F08-079-057</t>
  </si>
  <si>
    <t>D120/CV/GR131-GR137</t>
  </si>
  <si>
    <t>004°19'22.7"E</t>
  </si>
  <si>
    <t>46°54'35.5"N</t>
  </si>
  <si>
    <t>FR-71-0563a</t>
  </si>
  <si>
    <t>En Moulu</t>
  </si>
  <si>
    <t>121-120</t>
  </si>
  <si>
    <t>580-5215-48-05</t>
  </si>
  <si>
    <t>320-E07-059-065</t>
  </si>
  <si>
    <t>004°07'00.2"E</t>
  </si>
  <si>
    <t>47°05'16.5"N</t>
  </si>
  <si>
    <t>FR-71-0578</t>
  </si>
  <si>
    <t>Broye</t>
  </si>
  <si>
    <t>Porte de Broye</t>
  </si>
  <si>
    <t>2825E</t>
  </si>
  <si>
    <t>251-104</t>
  </si>
  <si>
    <t>595-5190-30-42</t>
  </si>
  <si>
    <t>004°17'11.8"E</t>
  </si>
  <si>
    <t>46°53'37.9"N</t>
  </si>
  <si>
    <t>Porte dans le mur d'enceinte du Château de Montjeu</t>
  </si>
  <si>
    <t>FR-71-0595</t>
  </si>
  <si>
    <t>Porolle</t>
  </si>
  <si>
    <t>Col de la Porolle</t>
  </si>
  <si>
    <t>247-133</t>
  </si>
  <si>
    <t>595-5195-26-21</t>
  </si>
  <si>
    <t>320-F08-059-064</t>
  </si>
  <si>
    <t>D256</t>
  </si>
  <si>
    <t>004°16'55.8"E</t>
  </si>
  <si>
    <t>FR-71-0623</t>
  </si>
  <si>
    <t>Croisette</t>
  </si>
  <si>
    <t>Col de la Croisette</t>
  </si>
  <si>
    <t>098-015</t>
  </si>
  <si>
    <t>580-5205-25-00</t>
  </si>
  <si>
    <t>320-E08-043-119</t>
  </si>
  <si>
    <t>D179/RF</t>
  </si>
  <si>
    <t>004°05'08.4"E</t>
  </si>
  <si>
    <t>FR-71-0645</t>
  </si>
  <si>
    <t>Galibard</t>
  </si>
  <si>
    <t>Porte de Galibard</t>
  </si>
  <si>
    <t>241-113</t>
  </si>
  <si>
    <t>595-5195-21-00</t>
  </si>
  <si>
    <t>004°16'28.9"E</t>
  </si>
  <si>
    <t>46°54'06.4"N</t>
  </si>
  <si>
    <t>FR-71-0676</t>
  </si>
  <si>
    <t>Croix de Messire Jean</t>
  </si>
  <si>
    <t>Col de la Croix de Messire Jean</t>
  </si>
  <si>
    <t>231-007</t>
  </si>
  <si>
    <t>595-5180-11-44</t>
  </si>
  <si>
    <t>320-F09-047-103</t>
  </si>
  <si>
    <t>D275</t>
  </si>
  <si>
    <t>004°15'35.8"E</t>
  </si>
  <si>
    <t>46°48'21.3"N</t>
  </si>
  <si>
    <t>FR-71-0873</t>
  </si>
  <si>
    <t>Haut Folin</t>
  </si>
  <si>
    <t>Col du Haut Folin</t>
  </si>
  <si>
    <t>064-013</t>
  </si>
  <si>
    <t>575-5200-42-47</t>
  </si>
  <si>
    <t>320-E08-021-117</t>
  </si>
  <si>
    <t>D500/RF</t>
  </si>
  <si>
    <t>004°02'28.9"E</t>
  </si>
  <si>
    <t>FR-72-0168</t>
  </si>
  <si>
    <t>Croix des Six Chemins</t>
  </si>
  <si>
    <t>Col de la Croix des Six Chemins</t>
  </si>
  <si>
    <t>1617E</t>
  </si>
  <si>
    <t>187-041</t>
  </si>
  <si>
    <t>710-5350-43-11</t>
  </si>
  <si>
    <t>310-I05-027-082</t>
  </si>
  <si>
    <t>D105</t>
  </si>
  <si>
    <t>000°06'39.6"W</t>
  </si>
  <si>
    <t>48°16'36.7"N</t>
  </si>
  <si>
    <t>FR-72-0236</t>
  </si>
  <si>
    <t>Saint-Toutain</t>
  </si>
  <si>
    <t>Col de Saint-Toutain</t>
  </si>
  <si>
    <t>174-111</t>
  </si>
  <si>
    <t>710-5355-28-30</t>
  </si>
  <si>
    <t>310-I04-019-005</t>
  </si>
  <si>
    <t>D204/D105</t>
  </si>
  <si>
    <t>000°07'41.9"W</t>
  </si>
  <si>
    <t>48°20'23.1"N</t>
  </si>
  <si>
    <t>FR-72-0258</t>
  </si>
  <si>
    <t>Galerie</t>
  </si>
  <si>
    <t>Col de la Galerie</t>
  </si>
  <si>
    <t>1618E</t>
  </si>
  <si>
    <t>153-152</t>
  </si>
  <si>
    <t>710-5340-13-21</t>
  </si>
  <si>
    <t>310-I05-005-022</t>
  </si>
  <si>
    <t>D304</t>
  </si>
  <si>
    <t>000°09'23.8"W</t>
  </si>
  <si>
    <t>48°11'48.5"N</t>
  </si>
  <si>
    <t>FR-72-0323</t>
  </si>
  <si>
    <t>Quatre Gardes</t>
  </si>
  <si>
    <t>Col des Quatre Gardes</t>
  </si>
  <si>
    <t>1717E</t>
  </si>
  <si>
    <t>218-195</t>
  </si>
  <si>
    <t>295-5365-46-11</t>
  </si>
  <si>
    <t>310-K04-061-061</t>
  </si>
  <si>
    <t>D234</t>
  </si>
  <si>
    <t>000°17'29.0"E</t>
  </si>
  <si>
    <t>48°24'57.0"N</t>
  </si>
  <si>
    <t>Bien que nommé sur carte IGN, ne présente pas les caractéristiques topographiques necessaires pour être reconnu.</t>
  </si>
  <si>
    <t>FR-73-0255</t>
  </si>
  <si>
    <t>Cul du Bois</t>
  </si>
  <si>
    <t>Col du Cul du Bois</t>
  </si>
  <si>
    <t>3331O</t>
  </si>
  <si>
    <t>061-095</t>
  </si>
  <si>
    <t>720-5075-03-13</t>
  </si>
  <si>
    <t>333-I03-001-103</t>
  </si>
  <si>
    <t>005°50'07.4"E</t>
  </si>
  <si>
    <t>45°48'18.9"N</t>
  </si>
  <si>
    <t>Intitulé et nom n'apparaisant que sur un panneau jugé peu fiable.</t>
  </si>
  <si>
    <t>FR-73-1020</t>
  </si>
  <si>
    <t>Le pas de l'Ane</t>
  </si>
  <si>
    <t>3332O</t>
  </si>
  <si>
    <t>046-057</t>
  </si>
  <si>
    <t>715-5050-46-25</t>
  </si>
  <si>
    <t>333-H04-077-068</t>
  </si>
  <si>
    <t>005°48'57.1"E</t>
  </si>
  <si>
    <t>45°35'29.1"N</t>
  </si>
  <si>
    <t>Bien qu'inscrit sur une carte (TOP25 de l'IGN) ce "pas" ne dispose pas des caractères topographiques d'un col. Il s'agit d'un simple passage.</t>
  </si>
  <si>
    <t>FR-73-1210</t>
  </si>
  <si>
    <t>Beaune</t>
  </si>
  <si>
    <t>Col de Beaune</t>
  </si>
  <si>
    <t>3434E</t>
  </si>
  <si>
    <t>271-073</t>
  </si>
  <si>
    <t>300-5010-09-34</t>
  </si>
  <si>
    <t>333-L06-068-059</t>
  </si>
  <si>
    <t>D219/D82</t>
  </si>
  <si>
    <t>006°27'47.2"E</t>
  </si>
  <si>
    <t>45°14'46.0"N</t>
  </si>
  <si>
    <t>FR-73-1250</t>
  </si>
  <si>
    <t>3432E</t>
  </si>
  <si>
    <t>267-146</t>
  </si>
  <si>
    <t>300-5060-22-07</t>
  </si>
  <si>
    <t>006°27'38.3"E</t>
  </si>
  <si>
    <t>45°40'17.0"N</t>
  </si>
  <si>
    <t>Topographie jugée insuffisante</t>
  </si>
  <si>
    <t>FR-73-1306</t>
  </si>
  <si>
    <t>Sapey</t>
  </si>
  <si>
    <t>Col du Sapey</t>
  </si>
  <si>
    <t>207-126</t>
  </si>
  <si>
    <t>290-5015-47-39</t>
  </si>
  <si>
    <t>333-L06-025-094</t>
  </si>
  <si>
    <t>006°22'53.5"E</t>
  </si>
  <si>
    <t>45°17'36.4"N</t>
  </si>
  <si>
    <t>Col créé et panneauté pour des raisons touristiques</t>
  </si>
  <si>
    <t>FR-73-1320</t>
  </si>
  <si>
    <t>Cyclotouristes</t>
  </si>
  <si>
    <t>248-159</t>
  </si>
  <si>
    <t>300-5060-03-20</t>
  </si>
  <si>
    <t>333-L03-053-012</t>
  </si>
  <si>
    <t>006°26'08.5"E</t>
  </si>
  <si>
    <t>45°40'57.7"N</t>
  </si>
  <si>
    <t>Caractères topographiques peu marqués.Col créé de toute pièce par des cyclos locaux. Contredit l'article 4 de la règle du jeu.</t>
  </si>
  <si>
    <t>FR-73-1360</t>
  </si>
  <si>
    <t>Esseillon</t>
  </si>
  <si>
    <t>Col de l'Esseillon</t>
  </si>
  <si>
    <t>3534E</t>
  </si>
  <si>
    <t>203-043</t>
  </si>
  <si>
    <t>320-5005-22-47</t>
  </si>
  <si>
    <t>006°44'08.9"E</t>
  </si>
  <si>
    <t>45°13'06.3"N</t>
  </si>
  <si>
    <t>Le panneau n'est pas posé sur un col topographique.L'intitulé était à l'origine "Porte de l'Esseillon".</t>
  </si>
  <si>
    <t>FR-73-1448</t>
  </si>
  <si>
    <t>Bottine</t>
  </si>
  <si>
    <t>Pas de la Bottine</t>
  </si>
  <si>
    <t>3332E</t>
  </si>
  <si>
    <t>176-165</t>
  </si>
  <si>
    <t>730-5060-23-37</t>
  </si>
  <si>
    <t>005°59'00.4"E</t>
  </si>
  <si>
    <t>45°41'17.4"N</t>
  </si>
  <si>
    <t>FR-73-1620a</t>
  </si>
  <si>
    <t>Alpette</t>
  </si>
  <si>
    <t>Col de l'Alpette</t>
  </si>
  <si>
    <t>173-184</t>
  </si>
  <si>
    <t>290-5060-29-48</t>
  </si>
  <si>
    <t>006°20'22.4"E</t>
  </si>
  <si>
    <t>45°42'21.3"N</t>
  </si>
  <si>
    <t>Le panneautage est abusif. Il n'existe qu'un seul col de l'Alpette (ou Alpettaz. celui à 1580m d'altitude)</t>
  </si>
  <si>
    <t>FR-73-2050</t>
  </si>
  <si>
    <t>3533E</t>
  </si>
  <si>
    <t>197-006</t>
  </si>
  <si>
    <t>320-5025-22-11</t>
  </si>
  <si>
    <t>006°43'44.5"E</t>
  </si>
  <si>
    <t>45°21'55.5"N</t>
  </si>
  <si>
    <t>Le Pas de l'Ane nomme une combe et non un col.</t>
  </si>
  <si>
    <t>FR-73-2053</t>
  </si>
  <si>
    <t>Golet de la ~</t>
  </si>
  <si>
    <t>Trouye</t>
  </si>
  <si>
    <t>Golet de la Trouye</t>
  </si>
  <si>
    <t>3431E</t>
  </si>
  <si>
    <t>233-087</t>
  </si>
  <si>
    <t>295-5070-43-49</t>
  </si>
  <si>
    <t>006°25'02.0"E</t>
  </si>
  <si>
    <t>45°47'54.4"N</t>
  </si>
  <si>
    <t>Passage délicat dans une pente</t>
  </si>
  <si>
    <t>FR-73-2067</t>
  </si>
  <si>
    <t>Croix de Fer Ouest</t>
  </si>
  <si>
    <t>Col de la Croix de Fer Ouest</t>
  </si>
  <si>
    <t>3434O</t>
  </si>
  <si>
    <t>066-052</t>
  </si>
  <si>
    <t>280-5010-03-20</t>
  </si>
  <si>
    <t>006°12'03.7"E</t>
  </si>
  <si>
    <t>45°13'36.4"N</t>
  </si>
  <si>
    <t>Même passage que le col de la Croix de Fer</t>
  </si>
  <si>
    <t>FR-73-2200a</t>
  </si>
  <si>
    <t>Eublats</t>
  </si>
  <si>
    <t>Pas des Eublats</t>
  </si>
  <si>
    <t>3634E</t>
  </si>
  <si>
    <t>195-124</t>
  </si>
  <si>
    <t>345-5015-50-21</t>
  </si>
  <si>
    <t>007°05'11.6"E</t>
  </si>
  <si>
    <t>45°17'28.9"N</t>
  </si>
  <si>
    <t>Il s'agit d'un passage resserré sans LPE. Il ne s'agit donc pas d'un col.</t>
  </si>
  <si>
    <t>FR-73-2239</t>
  </si>
  <si>
    <t>Blanc</t>
  </si>
  <si>
    <t>Collet Blanc</t>
  </si>
  <si>
    <t>3534O</t>
  </si>
  <si>
    <t>005-198</t>
  </si>
  <si>
    <t>300-5025-28-08</t>
  </si>
  <si>
    <t>006°28'58.2"E</t>
  </si>
  <si>
    <t>45°21'29.3"N</t>
  </si>
  <si>
    <t>Le Collet Blanc correspond à une hauteur et non à un point précis comme l'est un col.</t>
  </si>
  <si>
    <t>FR-73-2400c</t>
  </si>
  <si>
    <t>Mule</t>
  </si>
  <si>
    <t>Pas de la Mule</t>
  </si>
  <si>
    <t>196-109</t>
  </si>
  <si>
    <t>345-5015-50-06</t>
  </si>
  <si>
    <t xml:space="preserve">S-GR </t>
  </si>
  <si>
    <t>007°05'13.0"E</t>
  </si>
  <si>
    <t>45°16'39.8"N</t>
  </si>
  <si>
    <t>Pas de topographie ccorrespondant à celle d'un col.</t>
  </si>
  <si>
    <t>FR-73-2477a</t>
  </si>
  <si>
    <t>Col de Balme</t>
  </si>
  <si>
    <t>3531O</t>
  </si>
  <si>
    <t>019-196</t>
  </si>
  <si>
    <t>305-5085-12-06</t>
  </si>
  <si>
    <t>006°30'06.3"E</t>
  </si>
  <si>
    <t>45°53'47.2"N</t>
  </si>
  <si>
    <t>Nommé indirectement "Télésiège du Col de Balme" sur la carte IGN. Les autres sources ne sont pas reconnues. Mis dans le fichier des cols non reconnus jusqu'à plus amples informations.</t>
  </si>
  <si>
    <t>FR-73-2592</t>
  </si>
  <si>
    <t>Grande Marianne</t>
  </si>
  <si>
    <t>Passage de la Grande Marianne</t>
  </si>
  <si>
    <t>200-091</t>
  </si>
  <si>
    <t>320-5030-27-45</t>
  </si>
  <si>
    <t>006°44'00.0"E</t>
  </si>
  <si>
    <t>45°26'30.6"N</t>
  </si>
  <si>
    <t>FR-73-2782</t>
  </si>
  <si>
    <t>Passage de ~
Col de ~</t>
  </si>
  <si>
    <t>Picheru
Picheru</t>
  </si>
  <si>
    <t>Passage de Picheru
Col de Picheru</t>
  </si>
  <si>
    <t>3633O</t>
  </si>
  <si>
    <t>121-125</t>
  </si>
  <si>
    <t>340-5035-30-24</t>
  </si>
  <si>
    <t>006°59'30.0"E</t>
  </si>
  <si>
    <t>Doublon de FR-73-2754 Col de Picheru</t>
  </si>
  <si>
    <t>FR-74-0480</t>
  </si>
  <si>
    <t>Chaumontet</t>
  </si>
  <si>
    <t>Col de Chaumontet</t>
  </si>
  <si>
    <t>3330E</t>
  </si>
  <si>
    <t>230-049</t>
  </si>
  <si>
    <t>270-5090-16-21</t>
  </si>
  <si>
    <t>328-J05-028-082</t>
  </si>
  <si>
    <t>D1508</t>
  </si>
  <si>
    <t>006°03'13.5"E</t>
  </si>
  <si>
    <t>45°56'39.6"N</t>
  </si>
  <si>
    <t>La référence: un guide ancien (origine inconnue) n'a pas été jugée suffisante. Aucune autre source connue ne nomme ce col</t>
  </si>
  <si>
    <t>FR-74-0590</t>
  </si>
  <si>
    <t>3331E</t>
  </si>
  <si>
    <t>186-093</t>
  </si>
  <si>
    <t>730-5075-29-16</t>
  </si>
  <si>
    <t>328-I06-085-101</t>
  </si>
  <si>
    <t>005°59'48.5"E</t>
  </si>
  <si>
    <t>45°48'12.2"N</t>
  </si>
  <si>
    <t>FR-74-0640</t>
  </si>
  <si>
    <t>Echelle</t>
  </si>
  <si>
    <t>Pas de l'Echelle</t>
  </si>
  <si>
    <t>3431O</t>
  </si>
  <si>
    <t>008-184</t>
  </si>
  <si>
    <t>275-5085-21-03</t>
  </si>
  <si>
    <t>006°07'39.4"E</t>
  </si>
  <si>
    <t>45°53'06.5"N</t>
  </si>
  <si>
    <t>Pas de col topo. seulement un passage délicat.</t>
  </si>
  <si>
    <t>FR-74-0948</t>
  </si>
  <si>
    <t>Chez Roch</t>
  </si>
  <si>
    <t>3428E</t>
  </si>
  <si>
    <t>275-038</t>
  </si>
  <si>
    <t>305-5125-05-49</t>
  </si>
  <si>
    <t>328-L03-072-095</t>
  </si>
  <si>
    <t>D246</t>
  </si>
  <si>
    <t>006°28'28.0"E</t>
  </si>
  <si>
    <t>46°17'40.6"N</t>
  </si>
  <si>
    <t>Col topographique mais simple lieu-dit non nommé comme col sur carte ou panneau (ou autre document "officiel"). Non nommé localement</t>
  </si>
  <si>
    <t>FR-74-0990</t>
  </si>
  <si>
    <t>Le Golet</t>
  </si>
  <si>
    <t>3531E</t>
  </si>
  <si>
    <t>D43</t>
  </si>
  <si>
    <t>Pas de col topographique, Golet désigne le hameau</t>
  </si>
  <si>
    <t>FR-74-1127</t>
  </si>
  <si>
    <t>Pertus</t>
  </si>
  <si>
    <t>Le Pertus</t>
  </si>
  <si>
    <t>3429E</t>
  </si>
  <si>
    <t>248-020</t>
  </si>
  <si>
    <t>300-5105-20-31</t>
  </si>
  <si>
    <t>006°26'16.5"E</t>
  </si>
  <si>
    <t>46°05'51.2"N</t>
  </si>
  <si>
    <t>Le Pertus désigne une combe et non un col</t>
  </si>
  <si>
    <t>FR-74-1200</t>
  </si>
  <si>
    <t>3432O</t>
  </si>
  <si>
    <t>135-184</t>
  </si>
  <si>
    <t>285-5060-41-50</t>
  </si>
  <si>
    <t>R1(O). S5(S)</t>
  </si>
  <si>
    <t>006°17'26.4"E</t>
  </si>
  <si>
    <t>45°42'21.5"N</t>
  </si>
  <si>
    <t>Passage délicat dans une cheminée.</t>
  </si>
  <si>
    <t>FR-74-1250</t>
  </si>
  <si>
    <t>Pas du  ~</t>
  </si>
  <si>
    <t>Roc</t>
  </si>
  <si>
    <t>Pas du  Roc</t>
  </si>
  <si>
    <t>3430E</t>
  </si>
  <si>
    <t>143-080</t>
  </si>
  <si>
    <t>290-5090-09-45</t>
  </si>
  <si>
    <t>006°18'05.4"E</t>
  </si>
  <si>
    <t>45°58'20.4"N</t>
  </si>
  <si>
    <t>C'est un cheminement à flanc de falaise. Topo non-conforme. Pas désigne ici un pasage délicat</t>
  </si>
  <si>
    <t>FR-74-1260</t>
  </si>
  <si>
    <t>Sur le Cœur</t>
  </si>
  <si>
    <t>180-121</t>
  </si>
  <si>
    <t>295-5115-05-34</t>
  </si>
  <si>
    <t>006°21'01.6"E</t>
  </si>
  <si>
    <t>46°11'18.9"N</t>
  </si>
  <si>
    <t>Coeur reconnu en Valais. mais ici la topographie n'est pas évidente</t>
  </si>
  <si>
    <t>FR-74-1333</t>
  </si>
  <si>
    <t>Le Gollet</t>
  </si>
  <si>
    <t>3530O</t>
  </si>
  <si>
    <t>012-034</t>
  </si>
  <si>
    <t>305-5085-05-44</t>
  </si>
  <si>
    <t>006°29'30.4"E</t>
  </si>
  <si>
    <t>45°55'50.4"N</t>
  </si>
  <si>
    <t>Pas de caractère topo. simplement le nom du chalet</t>
  </si>
  <si>
    <t>FR-74-1450</t>
  </si>
  <si>
    <t>Bourse</t>
  </si>
  <si>
    <t>Passage de la Bourse</t>
  </si>
  <si>
    <t>3430O</t>
  </si>
  <si>
    <t>123-019</t>
  </si>
  <si>
    <t>285-5085-37-34</t>
  </si>
  <si>
    <t>006°16'32.2"E</t>
  </si>
  <si>
    <t>45°55'00.0"N</t>
  </si>
  <si>
    <t>Franchissement d'une corniche sous la crête. il ne s'agit pas d'un col.</t>
  </si>
  <si>
    <t>FR-74-1500d</t>
  </si>
  <si>
    <t>Chapelle</t>
  </si>
  <si>
    <t>Trou de la Chapelle</t>
  </si>
  <si>
    <t>116-175</t>
  </si>
  <si>
    <t>285-5080-29-41</t>
  </si>
  <si>
    <t>006°16'01.9"E</t>
  </si>
  <si>
    <t>45°52'38.5"N</t>
  </si>
  <si>
    <t>Caractères topographiques peu marqués. Le "Trou" semble désigner une grotte</t>
  </si>
  <si>
    <t>FR-74-1555</t>
  </si>
  <si>
    <t>Lovatière</t>
  </si>
  <si>
    <t>Golet de la Lovatière</t>
  </si>
  <si>
    <t>258-061</t>
  </si>
  <si>
    <t>270-5070-38-32</t>
  </si>
  <si>
    <t>006°05'24.0"E</t>
  </si>
  <si>
    <t>45°46'30.3"N</t>
  </si>
  <si>
    <t>Caractères topographiques peu marqués. Il s'agit d'une combe</t>
  </si>
  <si>
    <t>FR-74-1653a</t>
  </si>
  <si>
    <t>Conche</t>
  </si>
  <si>
    <t>Col de la Conche</t>
  </si>
  <si>
    <t>3628O</t>
  </si>
  <si>
    <t>022-005</t>
  </si>
  <si>
    <t>335-5125-05-07</t>
  </si>
  <si>
    <t>R2(O) R1(E)</t>
  </si>
  <si>
    <t>006°51'54.7"E</t>
  </si>
  <si>
    <t>46°15'53.6"N</t>
  </si>
  <si>
    <t>Col validé par le Club mais il se trouve en Suisse au point 1687. Voir CH-VS-1653</t>
  </si>
  <si>
    <t>FR-74-1800b</t>
  </si>
  <si>
    <t>Saix</t>
  </si>
  <si>
    <t>Passage du Saix</t>
  </si>
  <si>
    <t>086-099</t>
  </si>
  <si>
    <t>310-5095-32-07</t>
  </si>
  <si>
    <t>006°35'18.4"E</t>
  </si>
  <si>
    <t>45°59'21.7"N</t>
  </si>
  <si>
    <t>FR-74-1860</t>
  </si>
  <si>
    <t>Monthieu</t>
  </si>
  <si>
    <t>Pas de Monthieu</t>
  </si>
  <si>
    <t>075-054</t>
  </si>
  <si>
    <t>310-5090-20-12</t>
  </si>
  <si>
    <t>006°34'25.7"E</t>
  </si>
  <si>
    <t>45°56'54.5"N</t>
  </si>
  <si>
    <t>Passage à flanc de montagne. Pas de caractères topographiques d'un col.</t>
  </si>
  <si>
    <t>FR-74-1949</t>
  </si>
  <si>
    <t>Avoriaz</t>
  </si>
  <si>
    <t>Col d'Avoriaz</t>
  </si>
  <si>
    <t>3529E</t>
  </si>
  <si>
    <t>238-121</t>
  </si>
  <si>
    <t>325-5115-41-24</t>
  </si>
  <si>
    <t>006°47'09.5"E</t>
  </si>
  <si>
    <t>46°11'19.3"N</t>
  </si>
  <si>
    <t>Nom proposé par l'auteur d'un guide CAS. toponyme non repris sur les cartes locales.</t>
  </si>
  <si>
    <t>FR-74-1959</t>
  </si>
  <si>
    <t>Fourche</t>
  </si>
  <si>
    <t>Col de la Fourche</t>
  </si>
  <si>
    <t>200-165</t>
  </si>
  <si>
    <t>325-5120-05-19</t>
  </si>
  <si>
    <t>006°44'13.7"E</t>
  </si>
  <si>
    <t>46°13'41.5"N</t>
  </si>
  <si>
    <t>Beaucoup trop d'incertitude. Non retenu en attendant les eclaircissements demandés à l'IGN</t>
  </si>
  <si>
    <t>FR-74-2115</t>
  </si>
  <si>
    <t>Pas à l'~</t>
  </si>
  <si>
    <t>Pas à l'Ours</t>
  </si>
  <si>
    <t>274-036</t>
  </si>
  <si>
    <t>330-5105-25-38</t>
  </si>
  <si>
    <t>15</t>
  </si>
  <si>
    <t>006°49'58.7"E</t>
  </si>
  <si>
    <t>46°06'44.8"N</t>
  </si>
  <si>
    <t>Il s’agit en fait d’un passage délicat pour franchir un torrent (donc l’eau s’y écoule !) sur une pente schisteuse. genre savonnette dès qu’il pleut.</t>
  </si>
  <si>
    <t>FR-74-2469</t>
  </si>
  <si>
    <t>Bellegarde</t>
  </si>
  <si>
    <t>Col de Bellegarde</t>
  </si>
  <si>
    <t>269-026</t>
  </si>
  <si>
    <t>330-5105-20-29</t>
  </si>
  <si>
    <t>006°49'34.3"E</t>
  </si>
  <si>
    <t>46°06'13.1"N</t>
  </si>
  <si>
    <t>FR-74-3759</t>
  </si>
  <si>
    <t>Col supérieur du
Col de l'~</t>
  </si>
  <si>
    <t>Triolet
Aiguille de Triolet</t>
  </si>
  <si>
    <t>Col supérieur du Triolet
Col de l'Aiguille de Triolet</t>
  </si>
  <si>
    <t>3630E</t>
  </si>
  <si>
    <t>144-019</t>
  </si>
  <si>
    <t>345-5085-17-17</t>
  </si>
  <si>
    <t>IT-AO</t>
  </si>
  <si>
    <t>007°01'22.8"E</t>
  </si>
  <si>
    <t>45°55'00.3"N</t>
  </si>
  <si>
    <t>Déjà au Chauvot sous le nom  Col supérieur du Triolet FR-74-3767</t>
  </si>
  <si>
    <t>FR-76-0156</t>
  </si>
  <si>
    <t>Bois de Locus
Haut de Maintru</t>
  </si>
  <si>
    <t>Col du Bois de Locus
Col du Haut de Maintru</t>
  </si>
  <si>
    <t>2009E</t>
  </si>
  <si>
    <t>156-119</t>
  </si>
  <si>
    <t>375-5515-22-13</t>
  </si>
  <si>
    <t>304-H03-061-089</t>
  </si>
  <si>
    <t>D77/CV</t>
  </si>
  <si>
    <t>001°17'36.1"E</t>
  </si>
  <si>
    <t>49°47'12.9"N</t>
  </si>
  <si>
    <t>INPN non reconnu comme source valable</t>
  </si>
  <si>
    <t>FR-80-0074</t>
  </si>
  <si>
    <t>le Passage aux ~</t>
  </si>
  <si>
    <t>Loups</t>
  </si>
  <si>
    <t>le Passage aux Loups</t>
  </si>
  <si>
    <t>2308E</t>
  </si>
  <si>
    <t>212-070</t>
  </si>
  <si>
    <t>460-5530-07-02</t>
  </si>
  <si>
    <t>002°27'08.6"E</t>
  </si>
  <si>
    <t>49°55'22.8"N</t>
  </si>
  <si>
    <t>Sur le flanc du Mont de Corbie, ce passage n'a pas la topographie d'un col</t>
  </si>
  <si>
    <t>FR-80-0075</t>
  </si>
  <si>
    <t xml:space="preserve">le Pas d' ~ </t>
  </si>
  <si>
    <t xml:space="preserve">le Pas d' Âne </t>
  </si>
  <si>
    <t>2509O</t>
  </si>
  <si>
    <t>064-086</t>
  </si>
  <si>
    <t>495-5510-25-17</t>
  </si>
  <si>
    <t>002°57'57.4"E</t>
  </si>
  <si>
    <t>49°45'27.1"N</t>
  </si>
  <si>
    <t>Point haut</t>
  </si>
  <si>
    <t>FR-80-0087</t>
  </si>
  <si>
    <t>Grand Pas</t>
  </si>
  <si>
    <t>2207E</t>
  </si>
  <si>
    <t>210-046</t>
  </si>
  <si>
    <t>430-5545-50-30</t>
  </si>
  <si>
    <t>002°05'28.6"E</t>
  </si>
  <si>
    <t>50°04'51.2"N</t>
  </si>
  <si>
    <t>Nomination indirecte "Vallée Grand Pas" Vallée est un toponyme courant dans cette région. Pas de Grand Pas cartographié dans les environs.</t>
  </si>
  <si>
    <t>FR-81-0238</t>
  </si>
  <si>
    <t>Combelasse</t>
  </si>
  <si>
    <t>Col de Combelasse</t>
  </si>
  <si>
    <t>2343O</t>
  </si>
  <si>
    <t>008-177</t>
  </si>
  <si>
    <t>430-4840-28-10</t>
  </si>
  <si>
    <t>002°09'58.1"E</t>
  </si>
  <si>
    <t>43°43'09.9"N</t>
  </si>
  <si>
    <t>"Col" né essentiellement pour des commodités postales. Les décisions d'un conseil municipal ne sont pas obligatoirement des sources reconnues.</t>
  </si>
  <si>
    <t>FR-81-0351</t>
  </si>
  <si>
    <t>Cauffour</t>
  </si>
  <si>
    <t>Col du Cauffour</t>
  </si>
  <si>
    <t>2341E</t>
  </si>
  <si>
    <t>172-017</t>
  </si>
  <si>
    <t>445-4860-45-49</t>
  </si>
  <si>
    <t>338-G07-020-076</t>
  </si>
  <si>
    <t>D74/R-GR</t>
  </si>
  <si>
    <t>002°22'17.0"E</t>
  </si>
  <si>
    <t>43°56'08.5"N</t>
  </si>
  <si>
    <t>La seule source pour ce col est un document non reconnu par le CCC</t>
  </si>
  <si>
    <t>FR-81-0430</t>
  </si>
  <si>
    <t>Aimes</t>
  </si>
  <si>
    <t>Pas d'Aimes</t>
  </si>
  <si>
    <t>2141E</t>
  </si>
  <si>
    <t>274-(053)</t>
  </si>
  <si>
    <t>400-4875-22-34</t>
  </si>
  <si>
    <t>001°46'45.2"E</t>
  </si>
  <si>
    <t>44°03'07.4"N</t>
  </si>
  <si>
    <t>FR-81-0434</t>
  </si>
  <si>
    <t>Mariette</t>
  </si>
  <si>
    <t>Col de Mariette</t>
  </si>
  <si>
    <t>236-(050)</t>
  </si>
  <si>
    <t>395-4875-34-37</t>
  </si>
  <si>
    <t>338-C06-034-040</t>
  </si>
  <si>
    <t>001°43'52.0"E</t>
  </si>
  <si>
    <t>44°03'16.4"N</t>
  </si>
  <si>
    <t>Panneau douteux</t>
  </si>
  <si>
    <t>FR-81-0780</t>
  </si>
  <si>
    <t>2443O</t>
  </si>
  <si>
    <t>143-197</t>
  </si>
  <si>
    <t>475-4840-04-27</t>
  </si>
  <si>
    <t>002°41'39.1"E</t>
  </si>
  <si>
    <t>43°44'12.7"N</t>
  </si>
  <si>
    <t>Un lieu-dit à flanc de montagne. Pas de LPE et donc pas de topographie évoquant celle d'un col.</t>
  </si>
  <si>
    <t>FR-82-0227</t>
  </si>
  <si>
    <t>Cot de ~
Coth de ~</t>
  </si>
  <si>
    <t>Higue
Higue</t>
  </si>
  <si>
    <t>Cot de Higue
Coth de Higue</t>
  </si>
  <si>
    <t>2042O</t>
  </si>
  <si>
    <t>025-081</t>
  </si>
  <si>
    <t>345-4850-28-29</t>
  </si>
  <si>
    <t>001°06'28.2"E</t>
  </si>
  <si>
    <t>43°48'47.6"N</t>
  </si>
  <si>
    <t>Désigne le hameau</t>
  </si>
  <si>
    <t>FR-83-0022</t>
  </si>
  <si>
    <t>3346O</t>
  </si>
  <si>
    <t>100-(129)</t>
  </si>
  <si>
    <t>730-4770-44-42</t>
  </si>
  <si>
    <t>005°52'45.6"E</t>
  </si>
  <si>
    <t>43°05'03.5"N</t>
  </si>
  <si>
    <t>Bien qu'inscrit sur la carte ce "pas" ne dispose pas de caractères topographiques suffisants. Il s'agit d'un simple passage et non d'un col.</t>
  </si>
  <si>
    <t>FR-83-0050</t>
  </si>
  <si>
    <t>Cerf</t>
  </si>
  <si>
    <t>Pas du Cerf</t>
  </si>
  <si>
    <t>3446O</t>
  </si>
  <si>
    <t>081-168</t>
  </si>
  <si>
    <t>270-4780-38-36</t>
  </si>
  <si>
    <t>340-M06-027-003</t>
  </si>
  <si>
    <t>006°13'00.3"E</t>
  </si>
  <si>
    <t>43°10'16.8"N</t>
  </si>
  <si>
    <t>Il s'agit d'un gué sur un cours d'eau et non d'un col</t>
  </si>
  <si>
    <t>FR-83-0074</t>
  </si>
  <si>
    <t>Pont Vieux</t>
  </si>
  <si>
    <t>Collet du Pont Vieux</t>
  </si>
  <si>
    <t>3445O</t>
  </si>
  <si>
    <t>032-040</t>
  </si>
  <si>
    <t>265-4790-40-10</t>
  </si>
  <si>
    <t>340-L06-084-052</t>
  </si>
  <si>
    <t>006°09'20.3"E</t>
  </si>
  <si>
    <t>43°14'10.5"N</t>
  </si>
  <si>
    <t>Désigne une colline comme souvent dans cette région</t>
  </si>
  <si>
    <t>FR-83-0105</t>
  </si>
  <si>
    <t>Colette</t>
  </si>
  <si>
    <t>La Colette</t>
  </si>
  <si>
    <t>065-130</t>
  </si>
  <si>
    <t>730-4775-07-49</t>
  </si>
  <si>
    <t>43°08'12.2"N</t>
  </si>
  <si>
    <t>FR-83-0135</t>
  </si>
  <si>
    <t>Colle Basse</t>
  </si>
  <si>
    <t>3546O</t>
  </si>
  <si>
    <t>109-183</t>
  </si>
  <si>
    <t>305-4780-09-41</t>
  </si>
  <si>
    <t>006°36'40.4"E</t>
  </si>
  <si>
    <t>43°11'05.8"N</t>
  </si>
  <si>
    <t>Colle basse nomme une colline.</t>
  </si>
  <si>
    <t>FR-83-0190</t>
  </si>
  <si>
    <t>Le Col de la ~</t>
  </si>
  <si>
    <t>Pouponne</t>
  </si>
  <si>
    <t>Le Col de la Pouponne</t>
  </si>
  <si>
    <t>3444E</t>
  </si>
  <si>
    <t>240-075</t>
  </si>
  <si>
    <t>290-4810-07-38</t>
  </si>
  <si>
    <t>006°24'48.8"E</t>
  </si>
  <si>
    <t>43°26'52.0"N</t>
  </si>
  <si>
    <t>2007 - N°35</t>
  </si>
  <si>
    <t>La typographie utilisée n'est pas celle attribuée à un col sur les cartes IGN. "Le Col de..." (avec l'article Le) désigne dans la plupart des cas. un sommet dans les départements du sud-est de la France. il s'agit d'une déformation de "colle" (vient du latin "collis" qui signifie colline). Les anciennes éditions confirment cette origine car on y trouvait inscrit: "la Colle de la Pouponne". Il y a donc eu un glissement de "colle" vers "col" tout en désignant le même sommet.</t>
  </si>
  <si>
    <t>FR-83-0221</t>
  </si>
  <si>
    <t>Le pas de la Mule</t>
  </si>
  <si>
    <t>3445E</t>
  </si>
  <si>
    <t>278-141</t>
  </si>
  <si>
    <t>290-4800-41-03</t>
  </si>
  <si>
    <t>006°27'36.2"E</t>
  </si>
  <si>
    <t>43°19'38.4"N</t>
  </si>
  <si>
    <t>L'intitulé Pas peut désigner autre chose qu'un col. Ici la topographie est incertaine. Les mules ont bien le droit de passer ailleurs que par des cols.</t>
  </si>
  <si>
    <t>FR-83-0284</t>
  </si>
  <si>
    <t>le Pas du Cerf</t>
  </si>
  <si>
    <t>040-192</t>
  </si>
  <si>
    <t>265-4785-47-11</t>
  </si>
  <si>
    <t>006°09'56.3"E</t>
  </si>
  <si>
    <t>43°11'32.8"N</t>
  </si>
  <si>
    <t>Le Pas de Cerf est le nom d'une société de chasse locale qui a posé de nombreux panneaux portant son nom.</t>
  </si>
  <si>
    <t>FR-83-0308</t>
  </si>
  <si>
    <t>Jacquet</t>
  </si>
  <si>
    <t>Le Pas de Jacquet</t>
  </si>
  <si>
    <t>3544E</t>
  </si>
  <si>
    <t>269-156</t>
  </si>
  <si>
    <t>320-4820-31-10</t>
  </si>
  <si>
    <t>340-P04-077-015</t>
  </si>
  <si>
    <t>D237</t>
  </si>
  <si>
    <t>006°48'38.2"E</t>
  </si>
  <si>
    <t>43°31'14.9"N</t>
  </si>
  <si>
    <t>Source insuffisante. Pas de confirmation sur le plan local pour l'instant.</t>
  </si>
  <si>
    <t>FR-83-0335</t>
  </si>
  <si>
    <t>Cantonniers</t>
  </si>
  <si>
    <t>Col des Cantonniers</t>
  </si>
  <si>
    <t>252-121</t>
  </si>
  <si>
    <t>320-4815-12-25</t>
  </si>
  <si>
    <t>340-P05-066-116</t>
  </si>
  <si>
    <t>RF/R1</t>
  </si>
  <si>
    <t>006°47'19.7"E</t>
  </si>
  <si>
    <t>43°29'21.5"N</t>
  </si>
  <si>
    <t>Col créé de toute pièce sans référence locale dans un but promotionnel. Contredit l'art 4 de la règle du jeu. Le panneau installé à l'occasion d'un "Pâques en Provence" a. depuis. été démonté.</t>
  </si>
  <si>
    <t>FR-83-0440</t>
  </si>
  <si>
    <t>La Basse</t>
  </si>
  <si>
    <t>3344E</t>
  </si>
  <si>
    <t>(075)-004</t>
  </si>
  <si>
    <t>255-4805-40-28</t>
  </si>
  <si>
    <t>006°01'28.1"E</t>
  </si>
  <si>
    <t>43°23'02.1"N</t>
  </si>
  <si>
    <t>FR-83-0450a</t>
  </si>
  <si>
    <t>Loube</t>
  </si>
  <si>
    <t>Pas de la Loube</t>
  </si>
  <si>
    <t>3344O</t>
  </si>
  <si>
    <t>009-086</t>
  </si>
  <si>
    <t>720-4815-40-03</t>
  </si>
  <si>
    <t>005°46'06.1"E</t>
  </si>
  <si>
    <t>43°27'26.8"N</t>
  </si>
  <si>
    <t>FR-83-0460</t>
  </si>
  <si>
    <t>Peyruis</t>
  </si>
  <si>
    <t>Pas de Peyruis</t>
  </si>
  <si>
    <t>274-175</t>
  </si>
  <si>
    <t>720-4800-17-41</t>
  </si>
  <si>
    <t>340-J05-037-018</t>
  </si>
  <si>
    <t>D480/R-GR</t>
  </si>
  <si>
    <t>005°44'07.9"E</t>
  </si>
  <si>
    <t>43°21'25.8"N</t>
  </si>
  <si>
    <t>Passage (Gué ?) en fond de vallée.</t>
  </si>
  <si>
    <t>FR-83-0535a</t>
  </si>
  <si>
    <t>Lentisque</t>
  </si>
  <si>
    <t>Collet du Lentisque</t>
  </si>
  <si>
    <t>3345E</t>
  </si>
  <si>
    <t>(118)-031</t>
  </si>
  <si>
    <t>740-4790-13-04</t>
  </si>
  <si>
    <t>005°58'15.3"E</t>
  </si>
  <si>
    <t>43°13'39.5"N</t>
  </si>
  <si>
    <t>Ce collet désigne un sommet</t>
  </si>
  <si>
    <t>FR-83-0545a</t>
  </si>
  <si>
    <t>223-038</t>
  </si>
  <si>
    <t>285-4790-32-01</t>
  </si>
  <si>
    <t>006°23'31.2"E</t>
  </si>
  <si>
    <t>43°14'01.7"N</t>
  </si>
  <si>
    <t>Semble désigner une colline. 
la typographie n'est pas celle utilisée
pour désigner un col.</t>
  </si>
  <si>
    <t>FR-83-0600a</t>
  </si>
  <si>
    <t>Mort</t>
  </si>
  <si>
    <t>Pas de la Mort</t>
  </si>
  <si>
    <t>149-048</t>
  </si>
  <si>
    <t>735-4790-38-20</t>
  </si>
  <si>
    <t>005°56'26.6"E</t>
  </si>
  <si>
    <t>43°14'34.3"N</t>
  </si>
  <si>
    <t>Passage délicat à flanc de colline et non un col.</t>
  </si>
  <si>
    <t>FR-83-0751</t>
  </si>
  <si>
    <t>Le Col d'~
Col de ~</t>
  </si>
  <si>
    <t>Avaye
Bourigaille</t>
  </si>
  <si>
    <t>Le Col d'Avaye
Col de Bourigaille</t>
  </si>
  <si>
    <t>3543E</t>
  </si>
  <si>
    <t>168-119</t>
  </si>
  <si>
    <t>310-4835-33-25</t>
  </si>
  <si>
    <t>340-P03-010-000</t>
  </si>
  <si>
    <t>D563/D53</t>
  </si>
  <si>
    <t>006°41'05.4"E</t>
  </si>
  <si>
    <t>43°40'01.9"N</t>
  </si>
  <si>
    <t>Pas de caractères topographiques d'un col. La typographie utilisée n'est pas celle attribuée à un col sur les cartes IGN. "Le Col de..." (avec l'article Le) désigne dans la plupart des cas. un sommet dans les départements du sud-est de la France. il s'agit d'une déformation de "colle" (vient du latin "collis" qui signifie colline)</t>
  </si>
  <si>
    <t>FR-83-0786</t>
  </si>
  <si>
    <t>Pas de ~
Collet de ~</t>
  </si>
  <si>
    <t>Rasclepoux
Rasclepoux</t>
  </si>
  <si>
    <t>Pas de Rasclepoux
Collet de Rasclepoux</t>
  </si>
  <si>
    <t>3443E</t>
  </si>
  <si>
    <t>241-070</t>
  </si>
  <si>
    <t>290-4830-15-32</t>
  </si>
  <si>
    <t>R1-2 S2-3(N)(S)</t>
  </si>
  <si>
    <t>006°24'54.9"E</t>
  </si>
  <si>
    <t>43°37'22.8"N</t>
  </si>
  <si>
    <t>Difficile à situer mais la présence d'un col ne s'impose pas dans le relief.</t>
  </si>
  <si>
    <t>FR-83-0870a</t>
  </si>
  <si>
    <t>Bertagne</t>
  </si>
  <si>
    <t>Col de Bertagne</t>
  </si>
  <si>
    <t>234-129</t>
  </si>
  <si>
    <t>715-4795-28-44</t>
  </si>
  <si>
    <t>R1-2, GR</t>
  </si>
  <si>
    <t>005°41'09.7"E</t>
  </si>
  <si>
    <t>43°18'58.8"N</t>
  </si>
  <si>
    <t>Remplacé par le FR-13-0870</t>
  </si>
  <si>
    <t>FR-83-0970a</t>
  </si>
  <si>
    <t>Subert</t>
  </si>
  <si>
    <t>Collet de Subert</t>
  </si>
  <si>
    <t>3543O</t>
  </si>
  <si>
    <t>119-185</t>
  </si>
  <si>
    <t>305-4840-37-43</t>
  </si>
  <si>
    <t>340-O03-067-045</t>
  </si>
  <si>
    <t>006°37'30.5"E</t>
  </si>
  <si>
    <t>43°43'36.2"N</t>
  </si>
  <si>
    <t>Il s'agit d'un sommet à 970 m et non d'un col. "Collet" désigne. dans la plupart des cas. un sommet dans les départements du sud-est de la France. Il s'agit du diminutif de "colle" qui vient du latin "collis" qui signifie colline.</t>
  </si>
  <si>
    <t>FR-83-1005a</t>
  </si>
  <si>
    <t>le Pas des ~
Pas des ~</t>
  </si>
  <si>
    <t>Avers
Averses</t>
  </si>
  <si>
    <t>la Pas des Avers
Pas des Averses</t>
  </si>
  <si>
    <t>281-184</t>
  </si>
  <si>
    <t>295-4840-09-45</t>
  </si>
  <si>
    <t>006°27'58.7"E</t>
  </si>
  <si>
    <t>43°43'32.8"N</t>
  </si>
  <si>
    <t>FR-84-0282</t>
  </si>
  <si>
    <t>Vaillant</t>
  </si>
  <si>
    <t>Collet de Vaillant</t>
  </si>
  <si>
    <t>075-116</t>
  </si>
  <si>
    <t>670-4895-02-17</t>
  </si>
  <si>
    <t>005°07'49.6"E</t>
  </si>
  <si>
    <t>44°12'14.3"N</t>
  </si>
  <si>
    <t>Ce "collet" est une colline (diminutif de "colle" du latin "collis c'est à dire "colline"). Le panneau de randonnée pédestre indique une altitude de 282 donc le pied de la colline. Il ne correspond pas à ce qu'indique la carte.</t>
  </si>
  <si>
    <t>FR-84-0340</t>
  </si>
  <si>
    <t>Sautet</t>
  </si>
  <si>
    <t>Pas du Sautet</t>
  </si>
  <si>
    <t>3142O</t>
  </si>
  <si>
    <t>081-195</t>
  </si>
  <si>
    <t>670-4860-16-47</t>
  </si>
  <si>
    <t>005°08'14.1"E</t>
  </si>
  <si>
    <t>43°54'55.7"N</t>
  </si>
  <si>
    <t>La carte IGN et les différents cadastres ne permettent pas une localisation précise. désigne un vaste secteur.</t>
  </si>
  <si>
    <t>FR-84-0373</t>
  </si>
  <si>
    <t>Col ~
Col de ~</t>
  </si>
  <si>
    <t>Blanc
Pluvinel</t>
  </si>
  <si>
    <t>Col Blanc
Col de Pluvinel</t>
  </si>
  <si>
    <t>3141O</t>
  </si>
  <si>
    <t>121-127</t>
  </si>
  <si>
    <t>675-4875-03-30</t>
  </si>
  <si>
    <t>005°11'16.5"E</t>
  </si>
  <si>
    <t>44°02'04.1"N</t>
  </si>
  <si>
    <t>Pas de caractères topographiques d'un col. La typographie utilisée n'est pas celle attribuée à un col sur les cartes IGN. Il s'agit. sans doute. de la déformation de "colle" (de Collis = colline)</t>
  </si>
  <si>
    <t>FR-84-0395</t>
  </si>
  <si>
    <t>095-127</t>
  </si>
  <si>
    <t>670-4895-22-30</t>
  </si>
  <si>
    <t>005°09'19.2"E</t>
  </si>
  <si>
    <t>44°12'52.4"N</t>
  </si>
  <si>
    <t>Ce collet est une colline</t>
  </si>
  <si>
    <t>FR-84-0440</t>
  </si>
  <si>
    <t>Colet des ~</t>
  </si>
  <si>
    <t>Cabanes</t>
  </si>
  <si>
    <t>Colet des Cabanes</t>
  </si>
  <si>
    <t>(193)-200</t>
  </si>
  <si>
    <t>670-4865-31-02</t>
  </si>
  <si>
    <t>005°09'21.0"E</t>
  </si>
  <si>
    <t>43°55'11.0"N</t>
  </si>
  <si>
    <t>Ce colet désigne la colline ou tout au moins un large secteur ne correspondant pas un un col.</t>
  </si>
  <si>
    <t>FR-84-0592</t>
  </si>
  <si>
    <t>Trou de ~</t>
  </si>
  <si>
    <t>Félician</t>
  </si>
  <si>
    <t>Trou de Félician</t>
  </si>
  <si>
    <t>3242O</t>
  </si>
  <si>
    <t>097-070</t>
  </si>
  <si>
    <t>700-4850-25-31</t>
  </si>
  <si>
    <t>005°31'03.1"E</t>
  </si>
  <si>
    <t>43°48'12.5"N</t>
  </si>
  <si>
    <t>Il s'agit d'un gouffre à 605m. plus à l'ouest.</t>
  </si>
  <si>
    <t>FR-84-0610</t>
  </si>
  <si>
    <t>Flaqueirol</t>
  </si>
  <si>
    <t>Collet de Flaqueirol</t>
  </si>
  <si>
    <t>3241O</t>
  </si>
  <si>
    <t>125-004</t>
  </si>
  <si>
    <t>700-4865-49-16</t>
  </si>
  <si>
    <t>332-G10-028-067</t>
  </si>
  <si>
    <t xml:space="preserve">D112/D22 </t>
  </si>
  <si>
    <t>005°33'08.8"E</t>
  </si>
  <si>
    <t>43°55'26.4"N</t>
  </si>
  <si>
    <t>Il s'agit d'un sommet à 677m et non d'un col. "Collet" désigne. dans la plupart des cas. un sommet dans les départements du sud-est de la France. Il s'agit du diminutif de "colle" qui vient du latin "collis" qui signifie colline)</t>
  </si>
  <si>
    <t>FR-84-0715</t>
  </si>
  <si>
    <t>Ambrosy</t>
  </si>
  <si>
    <t>Le Col d'Ambrosy</t>
  </si>
  <si>
    <t>3141E</t>
  </si>
  <si>
    <t>262-056</t>
  </si>
  <si>
    <t>685-4870-46-13</t>
  </si>
  <si>
    <t>005°21'48.2"E</t>
  </si>
  <si>
    <t>Désigne un lieu dit et non un col.</t>
  </si>
  <si>
    <t>FR-84-0878</t>
  </si>
  <si>
    <t>Collet d'~</t>
  </si>
  <si>
    <t>Aumiès</t>
  </si>
  <si>
    <t>Collet d'Aumiès</t>
  </si>
  <si>
    <t>003-073</t>
  </si>
  <si>
    <t>690-4850-31-31</t>
  </si>
  <si>
    <t>R2 S2-4(N). GR9</t>
  </si>
  <si>
    <t>005°24'01.5"E</t>
  </si>
  <si>
    <t>43°48'20.6"N</t>
  </si>
  <si>
    <t>Les collets du Lubéron sont plutôt des sommets. Sur la carte IGN. ce lieu ne correspond pas à un col.</t>
  </si>
  <si>
    <t>FR-84-1010</t>
  </si>
  <si>
    <t>Puy</t>
  </si>
  <si>
    <t>Collet du Puy</t>
  </si>
  <si>
    <t>3140E</t>
  </si>
  <si>
    <t>269-039</t>
  </si>
  <si>
    <t>685-4885-49-47</t>
  </si>
  <si>
    <t>332-F09-022-100</t>
  </si>
  <si>
    <t>D164</t>
  </si>
  <si>
    <t>005°22'26.9"E</t>
  </si>
  <si>
    <t>44°08'07.4"N</t>
  </si>
  <si>
    <t>Il n'existe pas de col à l'emplacement du panneau</t>
  </si>
  <si>
    <t>FR-87-0354</t>
  </si>
  <si>
    <t>le Portail</t>
  </si>
  <si>
    <t>2030E</t>
  </si>
  <si>
    <t>271-036</t>
  </si>
  <si>
    <t>375-5085-31-28</t>
  </si>
  <si>
    <t>325-F05-049-074</t>
  </si>
  <si>
    <t>D56</t>
  </si>
  <si>
    <t>001°25'39.4"E</t>
  </si>
  <si>
    <t>Ce toponyme désigne un groupe d'habitations</t>
  </si>
  <si>
    <t>FR-87-0539</t>
  </si>
  <si>
    <t>Beausoleil</t>
  </si>
  <si>
    <t>Col de Beausoleil</t>
  </si>
  <si>
    <t>170-084</t>
  </si>
  <si>
    <t>365-5090-31-27</t>
  </si>
  <si>
    <t>325-E05-067-105</t>
  </si>
  <si>
    <t>RF/CV</t>
  </si>
  <si>
    <t>001°17'48.6"E</t>
  </si>
  <si>
    <t>45°58'30.7"N</t>
  </si>
  <si>
    <t>FR-88-0482</t>
  </si>
  <si>
    <t>La Passe ~</t>
  </si>
  <si>
    <t>Moncauron</t>
  </si>
  <si>
    <t>La Passe Moncauron</t>
  </si>
  <si>
    <t>3419O</t>
  </si>
  <si>
    <t>032-157</t>
  </si>
  <si>
    <t>285-5320-32-26</t>
  </si>
  <si>
    <t>006°09'34.5"E</t>
  </si>
  <si>
    <t>48°01'17.7"N</t>
  </si>
  <si>
    <t>L'appelation peut faire référence à un col mais ici pas de caractère topographique plutôt le nom d'un chemin. d'un versant ou d'un sommet.</t>
  </si>
  <si>
    <t>FR-88-0531</t>
  </si>
  <si>
    <t>~ Cône</t>
  </si>
  <si>
    <t>Le Void de</t>
  </si>
  <si>
    <t>Le Void de Cône</t>
  </si>
  <si>
    <t>3419E</t>
  </si>
  <si>
    <t>267-180</t>
  </si>
  <si>
    <t>310-5320-19-41</t>
  </si>
  <si>
    <t>314-G04-071-031</t>
  </si>
  <si>
    <t>CV/R</t>
  </si>
  <si>
    <t>006°28'34.3"E</t>
  </si>
  <si>
    <t>48°02'31.4"N</t>
  </si>
  <si>
    <t>Ce Void de Cône désigne un lieu-dit. la topographie à l'endroit indiqué n'est pas celle d'un col.
Void désignerait plutôt un passage à gué</t>
  </si>
  <si>
    <t>FR-88-0740</t>
  </si>
  <si>
    <t>Passage</t>
  </si>
  <si>
    <t>Le Passage</t>
  </si>
  <si>
    <t>3518E</t>
  </si>
  <si>
    <t>(047)-056</t>
  </si>
  <si>
    <t>330-5330-42-10</t>
  </si>
  <si>
    <t>314-I04-053-082</t>
  </si>
  <si>
    <t>D31</t>
  </si>
  <si>
    <t>006°46'22.8"E</t>
  </si>
  <si>
    <t>48°06'37.7"N</t>
  </si>
  <si>
    <t>La topographie ne correspond pas à celle d'un col. Passage pourrait désigner le hameau</t>
  </si>
  <si>
    <t>FR-88-0973</t>
  </si>
  <si>
    <t>Kerrieux</t>
  </si>
  <si>
    <t>Col des Kerrieux</t>
  </si>
  <si>
    <t>3519E</t>
  </si>
  <si>
    <t>(038)-135</t>
  </si>
  <si>
    <t>330-5315-48-38</t>
  </si>
  <si>
    <t>R1(N)</t>
  </si>
  <si>
    <t>006°47'09.2"E</t>
  </si>
  <si>
    <t>48°00'03.6"N</t>
  </si>
  <si>
    <t>Panneau douteux. bricolage</t>
  </si>
  <si>
    <t>FR-89-0196</t>
  </si>
  <si>
    <t>Creuse</t>
  </si>
  <si>
    <t>Passage de la Creuse</t>
  </si>
  <si>
    <t>2721E</t>
  </si>
  <si>
    <t>200-053</t>
  </si>
  <si>
    <t>560-5265-49-36</t>
  </si>
  <si>
    <t>003°51'48.3"E</t>
  </si>
  <si>
    <t>47°34'04.7"N</t>
  </si>
  <si>
    <t>Passage en fond de vallée où circule un ruisseau</t>
  </si>
  <si>
    <t>FR-89-0380</t>
  </si>
  <si>
    <t>Pertuis de ~</t>
  </si>
  <si>
    <t>Lavalle</t>
  </si>
  <si>
    <t>Pertuis de Lavalle</t>
  </si>
  <si>
    <t>261-063</t>
  </si>
  <si>
    <t>570-5245-13-47</t>
  </si>
  <si>
    <t>003°56'39.2"E</t>
  </si>
  <si>
    <t>47°23'49.2"N</t>
  </si>
  <si>
    <t>La typographie n'est pas celle utilisée habituellement pour indiquer un col. La Bdnyme de l'IGN pointe sur le nom ce qui indique un secteur et non un point précis comme l'est un col.</t>
  </si>
  <si>
    <t>FR-91-0082</t>
  </si>
  <si>
    <t>Trou au Loup</t>
  </si>
  <si>
    <t>Col du Trou au Loup</t>
  </si>
  <si>
    <t>2316O</t>
  </si>
  <si>
    <t>109-053</t>
  </si>
  <si>
    <t>445-5365-36-35</t>
  </si>
  <si>
    <t>312-C05-068-099</t>
  </si>
  <si>
    <t>002°18'14.9"E</t>
  </si>
  <si>
    <t>48°28'01.9"N</t>
  </si>
  <si>
    <t>FR-91-0137</t>
  </si>
  <si>
    <t>Rendez-Vous de Chasse</t>
  </si>
  <si>
    <t>Col du Rendez-Vous de Chasse</t>
  </si>
  <si>
    <t>087-128</t>
  </si>
  <si>
    <t>445-5375-14-11</t>
  </si>
  <si>
    <t>312-C04-053-026</t>
  </si>
  <si>
    <t>002°16'26.9"E</t>
  </si>
  <si>
    <t>48°32'07.8"N</t>
  </si>
  <si>
    <t>FR-01-0804</t>
  </si>
  <si>
    <t>Batiaoure</t>
  </si>
  <si>
    <t>Golet de la Batiaoure</t>
  </si>
  <si>
    <t>049-046</t>
  </si>
  <si>
    <t>690-5090-07-05</t>
  </si>
  <si>
    <t>005°27'35.1"E</t>
  </si>
  <si>
    <t>FR-04-1199a</t>
  </si>
  <si>
    <t>L'Aire des ~</t>
  </si>
  <si>
    <t>Chiens</t>
  </si>
  <si>
    <t>L'Aire des Chiens</t>
  </si>
  <si>
    <t>3440O</t>
  </si>
  <si>
    <t>064-019</t>
  </si>
  <si>
    <t>275-4885-08-37</t>
  </si>
  <si>
    <t>006°11'50.8"E</t>
  </si>
  <si>
    <t>FR-04-1390c</t>
  </si>
  <si>
    <t>Le Darau</t>
  </si>
  <si>
    <t>061-039</t>
  </si>
  <si>
    <t>275-4890-05-07</t>
  </si>
  <si>
    <t>006°11'36.6"E</t>
  </si>
  <si>
    <t>FR-04-1421</t>
  </si>
  <si>
    <t>Vaux</t>
  </si>
  <si>
    <t>Coulet de Vaux</t>
  </si>
  <si>
    <t>089-196</t>
  </si>
  <si>
    <t>275-4905-38-13</t>
  </si>
  <si>
    <t>006°13'40.4"E</t>
  </si>
  <si>
    <t>FR-04-1440</t>
  </si>
  <si>
    <t>264-081</t>
  </si>
  <si>
    <t>295-4890-10-43</t>
  </si>
  <si>
    <t>006°26'53.1"E</t>
  </si>
  <si>
    <t>FR-05-0734</t>
  </si>
  <si>
    <t>Valserres</t>
  </si>
  <si>
    <t>Col de Valserres</t>
  </si>
  <si>
    <t>006-025</t>
  </si>
  <si>
    <t>270-4925-14-45</t>
  </si>
  <si>
    <t>334-E06-066-111</t>
  </si>
  <si>
    <t>D942A</t>
  </si>
  <si>
    <t>006°07'29.5"E</t>
  </si>
  <si>
    <t>FR-05-0782</t>
  </si>
  <si>
    <t>Peysson</t>
  </si>
  <si>
    <t>Pas de Peysson</t>
  </si>
  <si>
    <t>004-001</t>
  </si>
  <si>
    <t>720-4905-04-18</t>
  </si>
  <si>
    <t>005°45'43.2"E</t>
  </si>
  <si>
    <t>FR-05-2201</t>
  </si>
  <si>
    <t>Colletto di ~</t>
  </si>
  <si>
    <t>Cresta Nera</t>
  </si>
  <si>
    <t>Colletto di Cresta Nera</t>
  </si>
  <si>
    <t>3536E</t>
  </si>
  <si>
    <t>227-167</t>
  </si>
  <si>
    <t>320-4980-38-21</t>
  </si>
  <si>
    <t>HS/N</t>
  </si>
  <si>
    <t>006°45'56.6"E</t>
  </si>
  <si>
    <t>FR-06-2609</t>
  </si>
  <si>
    <t>Pas du ~
Passo del ~</t>
  </si>
  <si>
    <t>Bœuf
Bue</t>
  </si>
  <si>
    <t>Pas du Bœuf
Passo del Bue</t>
  </si>
  <si>
    <t>175-144</t>
  </si>
  <si>
    <t>340-4895-47-42</t>
  </si>
  <si>
    <t>007°03'21.6"E</t>
  </si>
  <si>
    <t>FR-46-0614</t>
  </si>
  <si>
    <t>Pendit</t>
  </si>
  <si>
    <t>Col du Pendit</t>
  </si>
  <si>
    <t>072-183</t>
  </si>
  <si>
    <t>410-4960-21-19</t>
  </si>
  <si>
    <t>337-H03-029-103</t>
  </si>
  <si>
    <t>D48</t>
  </si>
  <si>
    <t>001°53'17.9"E</t>
  </si>
  <si>
    <t>FR-73-1365</t>
  </si>
  <si>
    <t>Confrérie</t>
  </si>
  <si>
    <t>Col de la Confrérie</t>
  </si>
  <si>
    <t>184-073</t>
  </si>
  <si>
    <t>290-5010-22-37</t>
  </si>
  <si>
    <t>333-L06-010-059</t>
  </si>
  <si>
    <t>006°21'07.6"E</t>
  </si>
  <si>
    <t>FR-73-2229a</t>
  </si>
  <si>
    <t>3533O</t>
  </si>
  <si>
    <t>105-051</t>
  </si>
  <si>
    <t>310-5030-31-08</t>
  </si>
  <si>
    <t>333-M05-058-054</t>
  </si>
  <si>
    <t>006°36'39.9"E</t>
  </si>
  <si>
    <t>FR-73-3269a</t>
  </si>
  <si>
    <t>Vedettes</t>
  </si>
  <si>
    <t>Col des Vedettes</t>
  </si>
  <si>
    <t>3632O</t>
  </si>
  <si>
    <t>FR-83-0178</t>
  </si>
  <si>
    <t>3545O</t>
  </si>
  <si>
    <t>091-121</t>
  </si>
  <si>
    <t>300-4795-45-29</t>
  </si>
  <si>
    <t>340-O06-048-105</t>
  </si>
  <si>
    <t>006°35'21.0"E</t>
  </si>
  <si>
    <t>FR-88-0772</t>
  </si>
  <si>
    <t>Pertuis</t>
  </si>
  <si>
    <t>Col du Pertuis</t>
  </si>
  <si>
    <t>(027)-048</t>
  </si>
  <si>
    <t>335-5330-12-02</t>
  </si>
  <si>
    <t>314-I04-066-077</t>
  </si>
  <si>
    <t>006°47'59.9"E</t>
  </si>
  <si>
    <t>Ce col était initialement positionné au niveau de la Croix Délon alors que sur la carte IGN le toponyme est placé plus au nord sur un lieu-dit ne présentant pas les caractéristiques topographiaques d'un col.</t>
  </si>
  <si>
    <t>Col enièrement en Italie voir IT-TO-2201</t>
  </si>
  <si>
    <t>Col enièrement en Italie voir IT-CN-2609b</t>
  </si>
  <si>
    <t>128-112</t>
  </si>
  <si>
    <t>340-5055-43-11</t>
  </si>
  <si>
    <t>007°00'06.3"E</t>
  </si>
  <si>
    <t>Col enièrement en Italie voir IT-AO-3261</t>
  </si>
  <si>
    <t>720-5160-02-07</t>
  </si>
  <si>
    <t>GR559</t>
  </si>
  <si>
    <t>005°52'21.3"E</t>
  </si>
  <si>
    <t>46°33'49.5"N</t>
  </si>
  <si>
    <t>FR-39-1125</t>
  </si>
  <si>
    <t>Haut-Crêt</t>
  </si>
  <si>
    <t>Col du Haut-Crêt</t>
  </si>
  <si>
    <t>725-5145-24-07</t>
  </si>
  <si>
    <t>321-F08-065-069</t>
  </si>
  <si>
    <t>005°57'35.7"E</t>
  </si>
  <si>
    <t>46°25'34.9"N</t>
  </si>
  <si>
    <t>Col crée pour des motifs promotionnels sans base géographique et historique.</t>
  </si>
  <si>
    <t>FR-39-1160</t>
  </si>
  <si>
    <t>Goulet</t>
  </si>
  <si>
    <t>Le Goulet</t>
  </si>
  <si>
    <t>152-126</t>
  </si>
  <si>
    <t>725-5135-23-48</t>
  </si>
  <si>
    <t>005°57'20.1"E</t>
  </si>
  <si>
    <t>46°22'23.4"N</t>
  </si>
  <si>
    <t>FR-39-1170</t>
  </si>
  <si>
    <t>Magnard</t>
  </si>
  <si>
    <t>Col de Magnard</t>
  </si>
  <si>
    <t>154-128</t>
  </si>
  <si>
    <t>725-5140-25-00</t>
  </si>
  <si>
    <t>321-F08-064-031</t>
  </si>
  <si>
    <t>D436/GR Tour du Ht Jura</t>
  </si>
  <si>
    <t>005°57'28.7"E</t>
  </si>
  <si>
    <t>46°22'31.8"N</t>
  </si>
  <si>
    <t>FR-39-1192</t>
  </si>
  <si>
    <t>Mijoux</t>
  </si>
  <si>
    <t>Col de Mijoux</t>
  </si>
  <si>
    <t>173-122</t>
  </si>
  <si>
    <t>725-5135-43-44</t>
  </si>
  <si>
    <t>321-F08-076-027</t>
  </si>
  <si>
    <t>D436</t>
  </si>
  <si>
    <t>005°58'54.7"E</t>
  </si>
  <si>
    <t>46°22'09.8"N</t>
  </si>
  <si>
    <t>La description du DGS seul document citant ce col le place à autre un endroit. Voir FR-39-1242</t>
  </si>
  <si>
    <t>FR-39-1205</t>
  </si>
  <si>
    <t>Porte des ~</t>
  </si>
  <si>
    <t>Combettes</t>
  </si>
  <si>
    <t>Porte des Combettes</t>
  </si>
  <si>
    <t>3427O</t>
  </si>
  <si>
    <t>012-115</t>
  </si>
  <si>
    <t>280-5155-02-34</t>
  </si>
  <si>
    <t>321-G07-068-032</t>
  </si>
  <si>
    <t>006°07'58.7"E</t>
  </si>
  <si>
    <t>46°32'35.1"N</t>
  </si>
  <si>
    <t>A l'emplacement du panneau (1200). ce n'est pas un col. L'intitulé "Porte" est de plus peu fiable.</t>
  </si>
  <si>
    <t>FR-39-1242</t>
  </si>
  <si>
    <t>3327E</t>
  </si>
  <si>
    <t>251-004</t>
  </si>
  <si>
    <t>275-5145-11-24</t>
  </si>
  <si>
    <t>321-G08-044-082</t>
  </si>
  <si>
    <t>D100</t>
  </si>
  <si>
    <t>006°05'06.5"E</t>
  </si>
  <si>
    <t>46°26'36.0"N</t>
  </si>
  <si>
    <t>La description du DGS seul document citant ce col le place à un endroit ou la topographie est insuffisante.</t>
  </si>
  <si>
    <t>FR-39-1335</t>
  </si>
  <si>
    <t>Malatrait</t>
  </si>
  <si>
    <t>Col de Malatrait</t>
  </si>
  <si>
    <t>3328O</t>
  </si>
  <si>
    <t>093-017</t>
  </si>
  <si>
    <t>720-5125-17-36</t>
  </si>
  <si>
    <t>R-GR9</t>
  </si>
  <si>
    <t>005°52'38.0"E</t>
  </si>
  <si>
    <t>46°16'29.5"N</t>
  </si>
  <si>
    <t>Panneau bricolé fait main. Col inconnu à la mairie de la Pesse.</t>
  </si>
  <si>
    <t>FR-40-0030</t>
  </si>
  <si>
    <t>Mas</t>
  </si>
  <si>
    <t>Pas de Mas</t>
  </si>
  <si>
    <t>1343O</t>
  </si>
  <si>
    <t>020-062</t>
  </si>
  <si>
    <t>625-4830-26-04</t>
  </si>
  <si>
    <t>001°25'08.1"W</t>
  </si>
  <si>
    <t>43°36'56.5"N</t>
  </si>
  <si>
    <t>Sur IGN désigne un large secteur. Attente d'un complément d'information de l'IGN</t>
  </si>
  <si>
    <t>FR-42-0683</t>
  </si>
  <si>
    <t>Buche</t>
  </si>
  <si>
    <t>Col de la Buche</t>
  </si>
  <si>
    <t>2929O</t>
  </si>
  <si>
    <t>010-058</t>
  </si>
  <si>
    <t>600-5105-27-46</t>
  </si>
  <si>
    <t>327-E03-084-098</t>
  </si>
  <si>
    <t>D31/D87</t>
  </si>
  <si>
    <t>004°19'46.7"E</t>
  </si>
  <si>
    <t>46°07'55.8"N</t>
  </si>
  <si>
    <t>Remplacé par le FR-69-0683</t>
  </si>
  <si>
    <t>FR-42-0715</t>
  </si>
  <si>
    <t>Aillets</t>
  </si>
  <si>
    <t>Col des Aillets</t>
  </si>
  <si>
    <t>084-077</t>
  </si>
  <si>
    <t>610-5110-01-16</t>
  </si>
  <si>
    <t>327-F03-047-111</t>
  </si>
  <si>
    <t>D10</t>
  </si>
  <si>
    <t>FR-69</t>
  </si>
  <si>
    <t>004°25'31.5"E</t>
  </si>
  <si>
    <t>46°08'57.4"N</t>
  </si>
  <si>
    <t>Situé complètement dans le Rhöne. remplacé par FR-69-0715</t>
  </si>
  <si>
    <t>FR-42-0725</t>
  </si>
  <si>
    <t>Plan de la Garde</t>
  </si>
  <si>
    <t>Col du Plan de la Garde</t>
  </si>
  <si>
    <t>2730E</t>
  </si>
  <si>
    <t>172-004</t>
  </si>
  <si>
    <t>560-5080-35-37</t>
  </si>
  <si>
    <t>327-B04-079-052</t>
  </si>
  <si>
    <t>003°49'09.4"E</t>
  </si>
  <si>
    <t>45°54'13.8"N</t>
  </si>
  <si>
    <t>Les documents présentés ne sont pas reconnus comme source valable par le CCC</t>
  </si>
  <si>
    <t>FR-42-0757</t>
  </si>
  <si>
    <t>Trêve Millot</t>
  </si>
  <si>
    <t>Col de Trêve Millot</t>
  </si>
  <si>
    <t>253-081</t>
  </si>
  <si>
    <t>570-5090-16-14</t>
  </si>
  <si>
    <t>327-C04-047-103</t>
  </si>
  <si>
    <t>003°55'26.8"E</t>
  </si>
  <si>
    <t>45°58'21.4"N</t>
  </si>
  <si>
    <t>FR-42-0855</t>
  </si>
  <si>
    <t>Allée</t>
  </si>
  <si>
    <t>Col de l'Allée</t>
  </si>
  <si>
    <t>201-030</t>
  </si>
  <si>
    <t>565-5085-14-13</t>
  </si>
  <si>
    <t>003°51'24.6"E</t>
  </si>
  <si>
    <t>45°55'36.1"N</t>
  </si>
  <si>
    <t>FR-42-0865a</t>
  </si>
  <si>
    <t>Essarts</t>
  </si>
  <si>
    <t>Col des Essarts</t>
  </si>
  <si>
    <t>225-059</t>
  </si>
  <si>
    <t>565-5085-38-43</t>
  </si>
  <si>
    <t>003°53'17.8"E</t>
  </si>
  <si>
    <t>45°57'12.2"N</t>
  </si>
  <si>
    <t>FR-42-1055</t>
  </si>
  <si>
    <t>Traverse</t>
  </si>
  <si>
    <t>FR-01-0925a</t>
  </si>
  <si>
    <t>Golet ~</t>
  </si>
  <si>
    <t>Téteret</t>
  </si>
  <si>
    <t>Golet Téteret</t>
  </si>
  <si>
    <t>197-162</t>
  </si>
  <si>
    <t>705-5100-02-26</t>
  </si>
  <si>
    <t>328-G04-078-034</t>
  </si>
  <si>
    <t>005°39'07.4"E</t>
  </si>
  <si>
    <t>FR-04-1355</t>
  </si>
  <si>
    <t>Pointu</t>
  </si>
  <si>
    <t>Collet Pointu</t>
  </si>
  <si>
    <t>284-174</t>
  </si>
  <si>
    <t>265-4900-45-44</t>
  </si>
  <si>
    <t>006°06'45.8"E</t>
  </si>
  <si>
    <t>FR-04-1965</t>
  </si>
  <si>
    <t>236-131</t>
  </si>
  <si>
    <t>290-4915-41-44</t>
  </si>
  <si>
    <t>006°24'50.4"E</t>
  </si>
  <si>
    <t>FR-05-0798</t>
  </si>
  <si>
    <t>233-031</t>
  </si>
  <si>
    <t>265-4930-04-03</t>
  </si>
  <si>
    <t>334-E06-027-115</t>
  </si>
  <si>
    <t>D45</t>
  </si>
  <si>
    <t>006°03'00.5"E</t>
  </si>
  <si>
    <t>Les données du cadastre et la carte d'état major ne permettent pas de positionner avec certitude cette Basse entre les sommets 2017 et 2034.</t>
  </si>
  <si>
    <t>Ce collet désigne un lieu-dit, la topographie n'est pas suffisante pour y voir un col.</t>
  </si>
  <si>
    <t>Golet est un intitulé douteux pouvant désigner autre chose qu'un col, la topographie est ici trop limite pour yvoir un col.</t>
  </si>
  <si>
    <t>Caractères topographiques insuffisants. Col inconnu sur place.</t>
  </si>
  <si>
    <t>FR-46-0330</t>
  </si>
  <si>
    <t>Clède</t>
  </si>
  <si>
    <t>Pas de la Clède</t>
  </si>
  <si>
    <t>2237O</t>
  </si>
  <si>
    <t>013-068</t>
  </si>
  <si>
    <t>405-4950-09-05</t>
  </si>
  <si>
    <t>337-G03-077-026</t>
  </si>
  <si>
    <t>001°48'45.2"E</t>
  </si>
  <si>
    <t>44°42'04.9"N</t>
  </si>
  <si>
    <t>Il s'agit d'une petite colline. Pas de caractères topographiques d'un col.</t>
  </si>
  <si>
    <t>FR-47-0130</t>
  </si>
  <si>
    <t>1839E</t>
  </si>
  <si>
    <t>305-4925-21-06</t>
  </si>
  <si>
    <t>336-F03-040-092</t>
  </si>
  <si>
    <t>000°34'32.8"E</t>
  </si>
  <si>
    <t>44°27'27.8"N</t>
  </si>
  <si>
    <t>Nomme les habitations. Topographie très légère. Pas de tradition de col dans ce département.</t>
  </si>
  <si>
    <t>FR-47-0133</t>
  </si>
  <si>
    <t>Tucol</t>
  </si>
  <si>
    <t>336-F03-081-039</t>
  </si>
  <si>
    <t>Tucol en occitan désigne une petite hauteur, un tertre</t>
  </si>
  <si>
    <t>FR-48-0740</t>
  </si>
  <si>
    <t>Cheyviel</t>
  </si>
  <si>
    <t>Col de Cheyviel</t>
  </si>
  <si>
    <t>2740E</t>
  </si>
  <si>
    <t>227-199</t>
  </si>
  <si>
    <t>570-4900-03-33</t>
  </si>
  <si>
    <t>330-L09-026-084</t>
  </si>
  <si>
    <t>CV(S).GR</t>
  </si>
  <si>
    <t>003°52'53.7"E</t>
  </si>
  <si>
    <t>44°16'46.1"N</t>
  </si>
  <si>
    <t>Le document justificatif n'a pas été jugé suffisant pour reconnaître ce col.</t>
  </si>
  <si>
    <t>FR-48-0798</t>
  </si>
  <si>
    <t>Bonietou</t>
  </si>
  <si>
    <t>Col de Bonietou</t>
  </si>
  <si>
    <t>2739E</t>
  </si>
  <si>
    <t>285-168</t>
  </si>
  <si>
    <t>575-4920-10-02</t>
  </si>
  <si>
    <t>330-L08-065-073</t>
  </si>
  <si>
    <t>003°57'18.8"E</t>
  </si>
  <si>
    <t>44°25'52.3"N</t>
  </si>
  <si>
    <t>FR-48-0880</t>
  </si>
  <si>
    <t>208-137</t>
  </si>
  <si>
    <t>565-4895-35-21</t>
  </si>
  <si>
    <t>GR67/GR Tour du Galeizon</t>
  </si>
  <si>
    <t>003°51'26.2"E</t>
  </si>
  <si>
    <t>44°13'25.0"N</t>
  </si>
  <si>
    <t>Col créé de toute pièce par des cyclistes locaux sans référence patrimoniale. Contredit l'art. 4 de la règle du jeu.</t>
  </si>
  <si>
    <t>FR-48-1012</t>
  </si>
  <si>
    <t>Lascols</t>
  </si>
  <si>
    <t>2638O</t>
  </si>
  <si>
    <t>027-169</t>
  </si>
  <si>
    <t>520-4935-15-49</t>
  </si>
  <si>
    <t>330-H07-055-083</t>
  </si>
  <si>
    <t>003°16'15.0"E</t>
  </si>
  <si>
    <t>44°36'42.9"N</t>
  </si>
  <si>
    <t>FR-48-1086</t>
  </si>
  <si>
    <t>Moulides</t>
  </si>
  <si>
    <t>Pas Moulides</t>
  </si>
  <si>
    <t>2637O</t>
  </si>
  <si>
    <t>(223)-(010)</t>
  </si>
  <si>
    <t>520-4960-48-20</t>
  </si>
  <si>
    <t>003°18'48.4"E</t>
  </si>
  <si>
    <t>44°48'38.3"N</t>
  </si>
  <si>
    <t>FR-48-1230</t>
  </si>
  <si>
    <t>Can de la Roche</t>
  </si>
  <si>
    <t>Col du Can de la Roche</t>
  </si>
  <si>
    <t>2638E</t>
  </si>
  <si>
    <t>198-158</t>
  </si>
  <si>
    <t>535-4935-36-39</t>
  </si>
  <si>
    <t>330-I07-081-076</t>
  </si>
  <si>
    <t>N107</t>
  </si>
  <si>
    <t>003°29'10.7"E</t>
  </si>
  <si>
    <t>44°36'08.3"N</t>
  </si>
  <si>
    <t>Le col n'est pas nommé en tant que tel.</t>
  </si>
  <si>
    <t>FR-48-1407</t>
  </si>
  <si>
    <t>Plo du Four</t>
  </si>
  <si>
    <t>260-050</t>
  </si>
  <si>
    <t>545-4885-00-32</t>
  </si>
  <si>
    <t>330-J10-033-(016)</t>
  </si>
  <si>
    <t>D18</t>
  </si>
  <si>
    <t>003°33'45.8"E</t>
  </si>
  <si>
    <t>44°08'43.5"N</t>
  </si>
  <si>
    <t>Pas d'intitulé "col"."Plo"signifie "plat" et n'est pas synonyme de "col".</t>
  </si>
  <si>
    <t>FR-49-0212</t>
  </si>
  <si>
    <t>Bois Oger</t>
  </si>
  <si>
    <t>Col du Bois Oger</t>
  </si>
  <si>
    <t>1524O</t>
  </si>
  <si>
    <t>016-(008)</t>
  </si>
  <si>
    <t>670-5220-42-47</t>
  </si>
  <si>
    <t>317-E06-066-113</t>
  </si>
  <si>
    <t>D65/D265</t>
  </si>
  <si>
    <t>000°42'08.7"W</t>
  </si>
  <si>
    <t>47°09'10.1"N</t>
  </si>
  <si>
    <t>Aucune référence sur carte ou cadastre. La topographie est celle d'un sommet.</t>
  </si>
  <si>
    <t>FR-52-0462</t>
  </si>
  <si>
    <t>Gargantua</t>
  </si>
  <si>
    <t>Pas de Gargantua</t>
  </si>
  <si>
    <t>3120O</t>
  </si>
  <si>
    <t>030-039</t>
  </si>
  <si>
    <t>655-5285-07-39</t>
  </si>
  <si>
    <t>005°04'34.8"E</t>
  </si>
  <si>
    <t>47°44'05.9"N</t>
  </si>
  <si>
    <t>Comme l'indique l'IGN ce Pas désigne un rocher</t>
  </si>
  <si>
    <t>FR-53-0230</t>
  </si>
  <si>
    <t>Vallée</t>
  </si>
  <si>
    <t>Col de la Vallée</t>
  </si>
  <si>
    <t>1618O</t>
  </si>
  <si>
    <t>085-115</t>
  </si>
  <si>
    <t>700-5335-46-32</t>
  </si>
  <si>
    <t>310-H06-042-122</t>
  </si>
  <si>
    <t>000°14'56.4"W</t>
  </si>
  <si>
    <t>48°09'49.4"N</t>
  </si>
  <si>
    <t>FR-55-0177</t>
  </si>
  <si>
    <t>le Passage des ~</t>
  </si>
  <si>
    <t>Senades</t>
  </si>
  <si>
    <t>le Passage des Senades</t>
  </si>
  <si>
    <t>3013E</t>
  </si>
  <si>
    <t>260-156</t>
  </si>
  <si>
    <t>645-5440-35-06</t>
  </si>
  <si>
    <t>005°02'01.4"E</t>
  </si>
  <si>
    <t>49°06'00.3"N</t>
  </si>
  <si>
    <t>Un passage sur un ruisseau ne peut pas être un col</t>
  </si>
  <si>
    <t>FR-55-0194</t>
  </si>
  <si>
    <t>le Pas de Vache</t>
  </si>
  <si>
    <t>3113O</t>
  </si>
  <si>
    <t>002-159</t>
  </si>
  <si>
    <t>645-5440-38-09</t>
  </si>
  <si>
    <t>005°02'19.4"E</t>
  </si>
  <si>
    <t>49°06'10.8"N</t>
  </si>
  <si>
    <t>FR-55-0251</t>
  </si>
  <si>
    <t>le Grand Collet</t>
  </si>
  <si>
    <t>3210O</t>
  </si>
  <si>
    <t>030-029</t>
  </si>
  <si>
    <t>675-5485-14-37</t>
  </si>
  <si>
    <t>005°26'15.2"E</t>
  </si>
  <si>
    <t>49°31'32.1"N</t>
  </si>
  <si>
    <t>Sur le flanc d'une colline, ce Collet n'a pas les caractéristique topographiques d'un col.</t>
  </si>
  <si>
    <t>FR-56-0057</t>
  </si>
  <si>
    <t>la Porte de ~</t>
  </si>
  <si>
    <t>Fer</t>
  </si>
  <si>
    <t>la Porte de Fer</t>
  </si>
  <si>
    <t>1021E</t>
  </si>
  <si>
    <t>177-192</t>
  </si>
  <si>
    <t>550-5280-35-24</t>
  </si>
  <si>
    <t>308-R08-023-020</t>
  </si>
  <si>
    <t>002°17'12.8"W</t>
  </si>
  <si>
    <t>Désigne une des portes d'entrée du parc de Bodélio</t>
  </si>
  <si>
    <t>FR-56-0058</t>
  </si>
  <si>
    <t>St-Jacut</t>
  </si>
  <si>
    <t>la Porte de St-Jacut</t>
  </si>
  <si>
    <t>211-191</t>
  </si>
  <si>
    <t>555-5280-20-24</t>
  </si>
  <si>
    <t>308-R08-046-019</t>
  </si>
  <si>
    <t>002°14'27.5"W</t>
  </si>
  <si>
    <t>FR-56-0085</t>
  </si>
  <si>
    <t>la Porte ~</t>
  </si>
  <si>
    <t>Rouaud</t>
  </si>
  <si>
    <t>la Porte Rouaud</t>
  </si>
  <si>
    <t>197-184</t>
  </si>
  <si>
    <t>555-5280-05-17</t>
  </si>
  <si>
    <t>308-R08-036-014</t>
  </si>
  <si>
    <t>002°15'38.5"W</t>
  </si>
  <si>
    <t>FR-56-0130</t>
  </si>
  <si>
    <t>Hilvern</t>
  </si>
  <si>
    <t>Col d'Hilvern</t>
  </si>
  <si>
    <t>0918O</t>
  </si>
  <si>
    <t>037-063</t>
  </si>
  <si>
    <t>510-5325-23-43</t>
  </si>
  <si>
    <t>308-N06-082-086</t>
  </si>
  <si>
    <t>002°50'03.6"W</t>
  </si>
  <si>
    <t>Tranchée où passe le canal de Nantes à Brest, la carte d'état major ne désigne pas un col</t>
  </si>
  <si>
    <t>FR-56-0133</t>
  </si>
  <si>
    <t>Toulgrand</t>
  </si>
  <si>
    <t>Col de Toulgrand</t>
  </si>
  <si>
    <t>0921E</t>
  </si>
  <si>
    <t>169-198</t>
  </si>
  <si>
    <t>525-5280-07-28</t>
  </si>
  <si>
    <t>308-P08-004-023</t>
  </si>
  <si>
    <t>002°39'28.3"W</t>
  </si>
  <si>
    <t>47°41'53.0"N</t>
  </si>
  <si>
    <t>Panneau posé à l'initiative d'un riverain</t>
  </si>
  <si>
    <t>FR-57-0237</t>
  </si>
  <si>
    <t>Métrich</t>
  </si>
  <si>
    <t>Col de Métrich</t>
  </si>
  <si>
    <t>3411E</t>
  </si>
  <si>
    <t>133-072</t>
  </si>
  <si>
    <t>300-5470-40-37</t>
  </si>
  <si>
    <t>006°17'59.5"E</t>
  </si>
  <si>
    <t>Nommé indirectement sur une carte la ligne Maginot. Source insuffisante</t>
  </si>
  <si>
    <t>FR-57-0348</t>
  </si>
  <si>
    <t>~eck</t>
  </si>
  <si>
    <t>Kocheneck</t>
  </si>
  <si>
    <t>3813O</t>
  </si>
  <si>
    <t>008-107</t>
  </si>
  <si>
    <t>395-5430-03-47</t>
  </si>
  <si>
    <t>007°34'01.3"E</t>
  </si>
  <si>
    <t>49°03'22.5"N</t>
  </si>
  <si>
    <t>"eck" désigne le plus souvent une crête allongée comme c'est le cas ici.</t>
  </si>
  <si>
    <t>FR-57-0359</t>
  </si>
  <si>
    <t>Haut de la ~</t>
  </si>
  <si>
    <t>Stée</t>
  </si>
  <si>
    <t>Haut de la Stée</t>
  </si>
  <si>
    <t>3615E</t>
  </si>
  <si>
    <t>160-012</t>
  </si>
  <si>
    <t>355-5385-16-10</t>
  </si>
  <si>
    <t>307-N07-026-082</t>
  </si>
  <si>
    <t>D96/D96g</t>
  </si>
  <si>
    <t>007°03'14.4"E</t>
  </si>
  <si>
    <t>48°36'38.4"N</t>
  </si>
  <si>
    <t>L'intitulé Haut n'est pas reconnu. ce col pourrait être éhabilité si une décision est prise concernant cet intitulé</t>
  </si>
  <si>
    <t>FR-57-0582</t>
  </si>
  <si>
    <t>Wolfsgrubkreuz</t>
  </si>
  <si>
    <t>3715O</t>
  </si>
  <si>
    <t>036-046</t>
  </si>
  <si>
    <t>370-5385-07-41</t>
  </si>
  <si>
    <t>307-O07-039-105</t>
  </si>
  <si>
    <t>007°14'42.9"E</t>
  </si>
  <si>
    <t>48°38'28.4"N</t>
  </si>
  <si>
    <t xml:space="preserve">Il s'agit d'une croix qui est nommée </t>
  </si>
  <si>
    <t>FR-58-0270</t>
  </si>
  <si>
    <t>Rouge</t>
  </si>
  <si>
    <t>Le Col Rouge</t>
  </si>
  <si>
    <t>2722O</t>
  </si>
  <si>
    <t>085-043</t>
  </si>
  <si>
    <t>550-5245-36-24</t>
  </si>
  <si>
    <t>319-F07-022-033</t>
  </si>
  <si>
    <t>003°42'34.9"E</t>
  </si>
  <si>
    <t>47°22'41.8"N</t>
  </si>
  <si>
    <t>Caractère topographique non marqué. Désigne plutôt une hauteur.</t>
  </si>
  <si>
    <t>FR-58-0340</t>
  </si>
  <si>
    <t>Gros Foyard</t>
  </si>
  <si>
    <t>Col du Gros Foyard</t>
  </si>
  <si>
    <t>2726E</t>
  </si>
  <si>
    <t>262-187</t>
  </si>
  <si>
    <t>570-5180-19-21</t>
  </si>
  <si>
    <t>319-G11-055-091</t>
  </si>
  <si>
    <t>D981</t>
  </si>
  <si>
    <t>003°56'29.5"E</t>
  </si>
  <si>
    <t>46°47'19.2"N</t>
  </si>
  <si>
    <t>Le seul symbole sur une carte Michelin n'est pas suffisant. Le col n'est pas nommé.</t>
  </si>
  <si>
    <t>FR-58-0382</t>
  </si>
  <si>
    <t>Oussy-Retoule</t>
  </si>
  <si>
    <t>Col Oussy-Retoule</t>
  </si>
  <si>
    <t>2723E</t>
  </si>
  <si>
    <t>161-054</t>
  </si>
  <si>
    <t>560-5225-13-36</t>
  </si>
  <si>
    <t>319-F08-072-031</t>
  </si>
  <si>
    <t>D219</t>
  </si>
  <si>
    <t>003°48'34.5"E</t>
  </si>
  <si>
    <t>FR-58-0406</t>
  </si>
  <si>
    <t>Montarons</t>
  </si>
  <si>
    <t>Col des Montarons</t>
  </si>
  <si>
    <t>2725E</t>
  </si>
  <si>
    <t>201-076</t>
  </si>
  <si>
    <t>565-5190-07-08</t>
  </si>
  <si>
    <t>319-G10-014-026</t>
  </si>
  <si>
    <t>D985/D502/C3</t>
  </si>
  <si>
    <t>003°51'42.1"E</t>
  </si>
  <si>
    <t>FR-58-0440</t>
  </si>
  <si>
    <t>Marigny</t>
  </si>
  <si>
    <t>Col de Marigny</t>
  </si>
  <si>
    <t>2722E</t>
  </si>
  <si>
    <t>255-017</t>
  </si>
  <si>
    <t>570-5245-07-01</t>
  </si>
  <si>
    <t>319-G07-052-016</t>
  </si>
  <si>
    <t>D128/D210</t>
  </si>
  <si>
    <t>003°56'09.6"E</t>
  </si>
  <si>
    <t>FR-58-0530</t>
  </si>
  <si>
    <t>Maison Comte</t>
  </si>
  <si>
    <t>Col de Maison Comte</t>
  </si>
  <si>
    <t>2724E</t>
  </si>
  <si>
    <t>265-167</t>
  </si>
  <si>
    <t>570-5220-18-01</t>
  </si>
  <si>
    <t>319-G09-057-097</t>
  </si>
  <si>
    <t>003°56'49.0"E</t>
  </si>
  <si>
    <t>FR-58-0539</t>
  </si>
  <si>
    <t>Guitte Longue</t>
  </si>
  <si>
    <t>Col de Guitte Longue</t>
  </si>
  <si>
    <t>223-162</t>
  </si>
  <si>
    <t>565-5235-24-46</t>
  </si>
  <si>
    <t>319-G08-030-103</t>
  </si>
  <si>
    <t>D235</t>
  </si>
  <si>
    <t>003°53'32.3"E</t>
  </si>
  <si>
    <t>FR-58-0564</t>
  </si>
  <si>
    <t>Col d ~</t>
  </si>
  <si>
    <t>Ouroux</t>
  </si>
  <si>
    <t>Col d Ouroux</t>
  </si>
  <si>
    <t>263-028</t>
  </si>
  <si>
    <t>570-5225-16-12</t>
  </si>
  <si>
    <t>319-G08-056-014</t>
  </si>
  <si>
    <t>D301/C10</t>
  </si>
  <si>
    <t>003°56'40.3"E</t>
  </si>
  <si>
    <t>FR-58-0578</t>
  </si>
  <si>
    <t>Col de l' ~</t>
  </si>
  <si>
    <t>Homme Mort</t>
  </si>
  <si>
    <t>Col de l' Homme Mort</t>
  </si>
  <si>
    <t>266-158</t>
  </si>
  <si>
    <t>570-5235-18-42</t>
  </si>
  <si>
    <t>319-G08-059-100</t>
  </si>
  <si>
    <t>003°57'00.8"E</t>
  </si>
  <si>
    <t>FR-58-0584</t>
  </si>
  <si>
    <t>Plainefas</t>
  </si>
  <si>
    <t>Col de Plainefas</t>
  </si>
  <si>
    <t>215-153</t>
  </si>
  <si>
    <t>565-5235-16-36</t>
  </si>
  <si>
    <t>319-G08-024-097</t>
  </si>
  <si>
    <t>D150</t>
  </si>
  <si>
    <t>FR-58-0643</t>
  </si>
  <si>
    <t>Croix Grenot</t>
  </si>
  <si>
    <t>Col de la Croix Grenot</t>
  </si>
  <si>
    <t>2823O</t>
  </si>
  <si>
    <t>087-111</t>
  </si>
  <si>
    <t>580-5230-11-46</t>
  </si>
  <si>
    <t>319-H08-036-069</t>
  </si>
  <si>
    <t>D977bis/C1</t>
  </si>
  <si>
    <t>004°04'18.8"E</t>
  </si>
  <si>
    <t>FR-58-0714</t>
  </si>
  <si>
    <t>Col d' ~</t>
  </si>
  <si>
    <t>Anverse</t>
  </si>
  <si>
    <t>Col d' Anverse</t>
  </si>
  <si>
    <t>2825O</t>
  </si>
  <si>
    <t>051-170</t>
  </si>
  <si>
    <t>575-5200-29-04</t>
  </si>
  <si>
    <t>319-H10-012-089</t>
  </si>
  <si>
    <t>D500</t>
  </si>
  <si>
    <t>004°01'24.5"E</t>
  </si>
  <si>
    <t>FR-58-0721</t>
  </si>
  <si>
    <t>Belle Place</t>
  </si>
  <si>
    <t>Col de Belle Place</t>
  </si>
  <si>
    <t>019-181</t>
  </si>
  <si>
    <t>570-5200-47-15</t>
  </si>
  <si>
    <t>319-G10-075-096</t>
  </si>
  <si>
    <t>D6/CV</t>
  </si>
  <si>
    <t>003°58'55.1"E</t>
  </si>
  <si>
    <t>46°57'45.8"N</t>
  </si>
  <si>
    <t>FR-58-0769</t>
  </si>
  <si>
    <t>Gravelle</t>
  </si>
  <si>
    <t>Col de la Gravelle</t>
  </si>
  <si>
    <t>009-189</t>
  </si>
  <si>
    <t>570-5200-37-23</t>
  </si>
  <si>
    <t>319-G10-068-101</t>
  </si>
  <si>
    <t>003°58'05.8"E</t>
  </si>
  <si>
    <t>46°58'10.9"N</t>
  </si>
  <si>
    <t>FR-59-0084</t>
  </si>
  <si>
    <t xml:space="preserve"> ~ Collet</t>
  </si>
  <si>
    <t>le Froid</t>
  </si>
  <si>
    <t xml:space="preserve"> le Froid Collet</t>
  </si>
  <si>
    <t>2607E</t>
  </si>
  <si>
    <t>135-191</t>
  </si>
  <si>
    <t>530-5560-04-23</t>
  </si>
  <si>
    <t>003°25'34.5"E</t>
  </si>
  <si>
    <t>50°12'42.0"N</t>
  </si>
  <si>
    <t>Topographie insuffisante, tout au plus un sommet</t>
  </si>
  <si>
    <t>FR-59-0090</t>
  </si>
  <si>
    <t>Pas à la ~</t>
  </si>
  <si>
    <t>Pas à la Vache</t>
  </si>
  <si>
    <t>200-193</t>
  </si>
  <si>
    <t>535-5560-19-26</t>
  </si>
  <si>
    <t>003°31'03.6"E</t>
  </si>
  <si>
    <t>50°12'50.3"N</t>
  </si>
  <si>
    <t>FR-59-0113</t>
  </si>
  <si>
    <t xml:space="preserve"> le Pas de  ~</t>
  </si>
  <si>
    <t>Lagau</t>
  </si>
  <si>
    <t>le Pas de  Lagau</t>
  </si>
  <si>
    <t>2706O</t>
  </si>
  <si>
    <t>044-077</t>
  </si>
  <si>
    <t>545-5570-19-10</t>
  </si>
  <si>
    <t>003°39'29.1"E</t>
  </si>
  <si>
    <t>50°17'22.0"N</t>
  </si>
  <si>
    <t>Topographie insuffisante, 2 m de différence d'altitude sur 1.2km</t>
  </si>
  <si>
    <t>FR-59-0114</t>
  </si>
  <si>
    <t>Passe ~</t>
  </si>
  <si>
    <t>-tout-Outre</t>
  </si>
  <si>
    <t>Passe -tout-Outre</t>
  </si>
  <si>
    <t>106-144</t>
  </si>
  <si>
    <t>550-5575-31-28</t>
  </si>
  <si>
    <t>302-K05-038-012</t>
  </si>
  <si>
    <t>003°44'46.8"E</t>
  </si>
  <si>
    <t>50°20'58.2"N</t>
  </si>
  <si>
    <t>Lieu dit à la frontière belge. "Qui doit son nom et sa réputation au fait que son café était la halte habituelle de contrebandiers en tout genre, attendant la nuit pour passer leur marchandise en France." (source wikipédia)</t>
  </si>
  <si>
    <t>FR-59-0116</t>
  </si>
  <si>
    <t>Sauchelets</t>
  </si>
  <si>
    <t>le Passage des Sauchelets</t>
  </si>
  <si>
    <t>016-044</t>
  </si>
  <si>
    <t>540-5565-42-27</t>
  </si>
  <si>
    <t>302-J06-057-069</t>
  </si>
  <si>
    <t>003°37'10.4"E</t>
  </si>
  <si>
    <t>50°15'34.1"N</t>
  </si>
  <si>
    <t>Point haut de la voie ferrée et de la route, pourrait désigner un ancien passage à niveau.</t>
  </si>
  <si>
    <t>FR-59-0122</t>
  </si>
  <si>
    <t>Béart</t>
  </si>
  <si>
    <t>Pas de Béart</t>
  </si>
  <si>
    <t>016-025</t>
  </si>
  <si>
    <t>540-5565-42-07</t>
  </si>
  <si>
    <t>302-J06-057-056</t>
  </si>
  <si>
    <t>003°37'10.9"E</t>
  </si>
  <si>
    <t>50°14'31.6"N</t>
  </si>
  <si>
    <t>FR-59-0142</t>
  </si>
  <si>
    <t>Zabelin</t>
  </si>
  <si>
    <t>la Passe Zabelin</t>
  </si>
  <si>
    <t>2707E</t>
  </si>
  <si>
    <t>145-197</t>
  </si>
  <si>
    <t>555-5560-21-31</t>
  </si>
  <si>
    <t>003°48'03.2"E</t>
  </si>
  <si>
    <t>50°13'03.5"N</t>
  </si>
  <si>
    <t>Situé sur l'arête d'un petit promontoire. Ne présente pas les caractéristiques topographiques d'un col</t>
  </si>
  <si>
    <t>FR-59-0148</t>
  </si>
  <si>
    <t>Passe du  ~</t>
  </si>
  <si>
    <t>Fau</t>
  </si>
  <si>
    <t>Passe du  Fau</t>
  </si>
  <si>
    <t>2707O</t>
  </si>
  <si>
    <t>125-160</t>
  </si>
  <si>
    <t>555-5555-01-44</t>
  </si>
  <si>
    <t>003°46'19.5"E</t>
  </si>
  <si>
    <t>50°11'03.1"N</t>
  </si>
  <si>
    <t>Situé sur le flanc d'un petit promontoire. Ne présente pas les caractéristiques topographiques d'un col</t>
  </si>
  <si>
    <t>FR-59-0149</t>
  </si>
  <si>
    <t>Croises</t>
  </si>
  <si>
    <t>Passe à Croises</t>
  </si>
  <si>
    <t>124-034</t>
  </si>
  <si>
    <t>550-5565-50-18</t>
  </si>
  <si>
    <t>003°46'16.8"E</t>
  </si>
  <si>
    <t>50°15'01.7"N</t>
  </si>
  <si>
    <t>Sur les contreforts de la vallée de la Sambrette.  Ne présente pas les caractéristiques topographiques d'un col</t>
  </si>
  <si>
    <t>FR-59-0158</t>
  </si>
  <si>
    <t>Laliau</t>
  </si>
  <si>
    <t>le Pas de Laliau</t>
  </si>
  <si>
    <t>151-091</t>
  </si>
  <si>
    <t>555-5550-28-25</t>
  </si>
  <si>
    <t>003°48'31.3"E</t>
  </si>
  <si>
    <t>50°07'19.0"N</t>
  </si>
  <si>
    <t>Désigne un hameau sur les contreforts de l'Helpe Mineure</t>
  </si>
  <si>
    <t>FR-59-0196</t>
  </si>
  <si>
    <t>Vaches</t>
  </si>
  <si>
    <t>le Pas de Vaches</t>
  </si>
  <si>
    <t>110-022</t>
  </si>
  <si>
    <t>550-5545-37-06</t>
  </si>
  <si>
    <t>302-K07-040-045</t>
  </si>
  <si>
    <t>003°45'02.2"E</t>
  </si>
  <si>
    <t>50°03'36.3"N</t>
  </si>
  <si>
    <t>Désigne le hameau situé sur unepetite hauteur.</t>
  </si>
  <si>
    <t>FR-59-0266</t>
  </si>
  <si>
    <t>Passe d' ~ 
Pas d'~</t>
  </si>
  <si>
    <t>Anor
Anor</t>
  </si>
  <si>
    <t>Passe d' Anor 
Pas d'Anor</t>
  </si>
  <si>
    <t>136-149</t>
  </si>
  <si>
    <t>580-5535-22-36</t>
  </si>
  <si>
    <t>302-M08-070-119</t>
  </si>
  <si>
    <t>D156</t>
  </si>
  <si>
    <t>004°08'48.8"E</t>
  </si>
  <si>
    <t>49°59'37.2"N</t>
  </si>
  <si>
    <t>Topographie insuffisante, plutôt un point haut</t>
  </si>
  <si>
    <t>FR-60-0116</t>
  </si>
  <si>
    <t>Passage ~</t>
  </si>
  <si>
    <t>Toullet</t>
  </si>
  <si>
    <t>Passage Toullet</t>
  </si>
  <si>
    <t>2310E</t>
  </si>
  <si>
    <t>192-091</t>
  </si>
  <si>
    <t>455-5490-32-23</t>
  </si>
  <si>
    <t>002°25'19.7"E</t>
  </si>
  <si>
    <t>49°34'54.0"N</t>
  </si>
  <si>
    <t>A l'intersection de la voie ferrée et d'un ancien chemin en partie disparu, visible sur carte IGN et carte E.M. La voie ferrée passe sur le flanc d'une petite colline. Pas de caractère topographique</t>
  </si>
  <si>
    <t>FR-60-0122</t>
  </si>
  <si>
    <t>les Pas ~</t>
  </si>
  <si>
    <t>St-Rieul</t>
  </si>
  <si>
    <t>les Pas St-Rieul</t>
  </si>
  <si>
    <t>2412O</t>
  </si>
  <si>
    <t>069-124</t>
  </si>
  <si>
    <t>470-5455-17-05</t>
  </si>
  <si>
    <t>002°36'39.4"E</t>
  </si>
  <si>
    <t>49°15'04.6"N</t>
  </si>
  <si>
    <t>FR-60-0168</t>
  </si>
  <si>
    <t xml:space="preserve"> ~</t>
  </si>
  <si>
    <t>la Passée</t>
  </si>
  <si>
    <t>2210O</t>
  </si>
  <si>
    <t>052-068</t>
  </si>
  <si>
    <t>415-5490-32-04</t>
  </si>
  <si>
    <t>001°52'08.8"E</t>
  </si>
  <si>
    <t>49°33'39.8"N</t>
  </si>
  <si>
    <t>L'orientation du texte sur carte IGN laisse penser que le toponyme désigne le vallon orienté SW-NE s'élevant de Songeons vers la hauteur proche de Serronville</t>
  </si>
  <si>
    <t>FR-61-0318</t>
  </si>
  <si>
    <t>Signal de Charlemagne</t>
  </si>
  <si>
    <t>Col du Signal de Charlemagne</t>
  </si>
  <si>
    <t>1515E</t>
  </si>
  <si>
    <t>218-053</t>
  </si>
  <si>
    <t>685-5390-46-15</t>
  </si>
  <si>
    <t>310-G03-036-109</t>
  </si>
  <si>
    <t>D53/D266</t>
  </si>
  <si>
    <t>000°25'34.3"W</t>
  </si>
  <si>
    <t>48°38'50.5"N</t>
  </si>
  <si>
    <t>FR-62-0083</t>
  </si>
  <si>
    <t>2507E</t>
  </si>
  <si>
    <t>158-107</t>
  </si>
  <si>
    <t>505-5550-20-38</t>
  </si>
  <si>
    <t>003°05'51.3"E</t>
  </si>
  <si>
    <t>50°08'10.8"N</t>
  </si>
  <si>
    <t>Nomination indirecte "La Frette des Collets" les Collets pourraient être les 2 sommets situé au NW et au SW et culminant respectivement à 92m et environ 100m</t>
  </si>
  <si>
    <t>FR-62-0117</t>
  </si>
  <si>
    <t>le Pas d' ~</t>
  </si>
  <si>
    <t>Âne</t>
  </si>
  <si>
    <t>le Pas d' Âne</t>
  </si>
  <si>
    <t>2507O</t>
  </si>
  <si>
    <t>028-089</t>
  </si>
  <si>
    <t>490-5550-39-20</t>
  </si>
  <si>
    <t>002°54'54.9"E</t>
  </si>
  <si>
    <t>50°07'13.4"N</t>
  </si>
  <si>
    <t>FR-62-0119</t>
  </si>
  <si>
    <t>Saint-Martin</t>
  </si>
  <si>
    <t>Le Pas de Saint-Martin</t>
  </si>
  <si>
    <t>2306E</t>
  </si>
  <si>
    <t>(007)-(076)</t>
  </si>
  <si>
    <t>460-5575-49-07</t>
  </si>
  <si>
    <t>002°30'26.0"E</t>
  </si>
  <si>
    <t>50°19'54.9"N</t>
  </si>
  <si>
    <t>La suppression est justifiée par le peu de caractère topographique pour ce Pas.</t>
  </si>
  <si>
    <t>FR-62-0136a</t>
  </si>
  <si>
    <t>Saint Eloi</t>
  </si>
  <si>
    <t>Pas Saint Eloi</t>
  </si>
  <si>
    <t>2406O</t>
  </si>
  <si>
    <t>125-145</t>
  </si>
  <si>
    <t>475-5575-31-26</t>
  </si>
  <si>
    <t>301-J05-012-013</t>
  </si>
  <si>
    <t>002°41'34.0"E</t>
  </si>
  <si>
    <t>FR-62-0147</t>
  </si>
  <si>
    <t>Eau</t>
  </si>
  <si>
    <t>Le Pas d' Eau</t>
  </si>
  <si>
    <t>188-136</t>
  </si>
  <si>
    <t>455-5575-38-19</t>
  </si>
  <si>
    <t>002°25'17.4"E</t>
  </si>
  <si>
    <t>50°20'32.6"N</t>
  </si>
  <si>
    <t>FR-62-0147a</t>
  </si>
  <si>
    <t>les Passages</t>
  </si>
  <si>
    <t>158-139</t>
  </si>
  <si>
    <t>455-5575-08-22</t>
  </si>
  <si>
    <t>002°22'45.3"E</t>
  </si>
  <si>
    <t>50°20'43.4"N</t>
  </si>
  <si>
    <t>FR-63-0785</t>
  </si>
  <si>
    <t>Croix St-Martin</t>
  </si>
  <si>
    <t>Col de la Croix St-Martin</t>
  </si>
  <si>
    <t>2731O</t>
  </si>
  <si>
    <t>101-(018)</t>
  </si>
  <si>
    <t>555-5080-14-14</t>
  </si>
  <si>
    <t>326-J07-031-037</t>
  </si>
  <si>
    <t>D64/D324</t>
  </si>
  <si>
    <t>003°43'37.6"E</t>
  </si>
  <si>
    <t>45°53'00.9"N</t>
  </si>
  <si>
    <t>FR-63-1270</t>
  </si>
  <si>
    <t>Prabouré</t>
  </si>
  <si>
    <t>Col de Prabouré</t>
  </si>
  <si>
    <t>213-024</t>
  </si>
  <si>
    <t>565-5045-29-08</t>
  </si>
  <si>
    <t>326-K09-019-046</t>
  </si>
  <si>
    <t>D252a</t>
  </si>
  <si>
    <t>003°52'13.1"E</t>
  </si>
  <si>
    <t>45°33'43.2"N</t>
  </si>
  <si>
    <t>Nom du col inscrit sur un panneau de déneigement (ni sommital . ni directionnel). Indique les conditions d'accès à un lieu élévé. Absence de col topographique</t>
  </si>
  <si>
    <t>FR-64-0244</t>
  </si>
  <si>
    <t>Lizuniaga</t>
  </si>
  <si>
    <t>Col de Lizuniaga</t>
  </si>
  <si>
    <t>1245O</t>
  </si>
  <si>
    <t>139-092</t>
  </si>
  <si>
    <t>610-4790-09-31</t>
  </si>
  <si>
    <t>342-C03-018-086</t>
  </si>
  <si>
    <t>001°37'57.5"W</t>
  </si>
  <si>
    <t>43°16'57.8"N</t>
  </si>
  <si>
    <t>1994 - N°22</t>
  </si>
  <si>
    <t>FR-64-0340a</t>
  </si>
  <si>
    <t>~lepoa</t>
  </si>
  <si>
    <t>Har</t>
  </si>
  <si>
    <t>Harlepoa</t>
  </si>
  <si>
    <t>1345O</t>
  </si>
  <si>
    <t>083-064</t>
  </si>
  <si>
    <t>630-4790-46-07</t>
  </si>
  <si>
    <t>342-D03-086-067</t>
  </si>
  <si>
    <t>001°20'29.6"W</t>
  </si>
  <si>
    <t>43°15'25.8"N</t>
  </si>
  <si>
    <t>FR-64-0360</t>
  </si>
  <si>
    <t>Brèque</t>
  </si>
  <si>
    <t>1646O</t>
  </si>
  <si>
    <t>084-110</t>
  </si>
  <si>
    <t>720-4775-29-27</t>
  </si>
  <si>
    <t>342-K04-040-088</t>
  </si>
  <si>
    <t>CV(NO)</t>
  </si>
  <si>
    <t>000°15'35.9"W</t>
  </si>
  <si>
    <t>43°07'08.9"N</t>
  </si>
  <si>
    <t>Brèque est-il synonyme de Brêche? Désigne ici plutôt les habitations</t>
  </si>
  <si>
    <t>FR-64-0370a</t>
  </si>
  <si>
    <t>~ Lepoa</t>
  </si>
  <si>
    <t>Lakoko</t>
  </si>
  <si>
    <t>Lakoko Lepoa</t>
  </si>
  <si>
    <t>1345E</t>
  </si>
  <si>
    <t>262-044</t>
  </si>
  <si>
    <t>650-4785-26-41</t>
  </si>
  <si>
    <t>001°07'12.1"W</t>
  </si>
  <si>
    <t>Intitulé présent sur une carte OSM source non reconnue</t>
  </si>
  <si>
    <t>FR-64-0403</t>
  </si>
  <si>
    <t>Col des ~
~</t>
  </si>
  <si>
    <t>Trois Chênes
Hiru Haitzeta</t>
  </si>
  <si>
    <t>Col des Trois Chênes
Hiru Haitzeta</t>
  </si>
  <si>
    <t>206-060</t>
  </si>
  <si>
    <t>645-4790-20-06</t>
  </si>
  <si>
    <t>001°11'21.9"W</t>
  </si>
  <si>
    <t>Topographie correcte, mais les différentes sources où ce col est nommé ne sont pas reconnues.</t>
  </si>
  <si>
    <t>FR-64-0487</t>
  </si>
  <si>
    <t>~ Lépoa</t>
  </si>
  <si>
    <t>Fontaine</t>
  </si>
  <si>
    <t>Fontaine Lépoa</t>
  </si>
  <si>
    <t>1346E</t>
  </si>
  <si>
    <t>267-155</t>
  </si>
  <si>
    <t>650-4780-32-03</t>
  </si>
  <si>
    <t>001°06'54.0"W</t>
  </si>
  <si>
    <t>43°09'34.2"N</t>
  </si>
  <si>
    <t>La fontaine du col. mais pas le col.</t>
  </si>
  <si>
    <t>FR-64-0494</t>
  </si>
  <si>
    <t>Ixtilzarreta</t>
  </si>
  <si>
    <t>214-053</t>
  </si>
  <si>
    <t>645-4785-28-50</t>
  </si>
  <si>
    <t>001°10'47.7"W</t>
  </si>
  <si>
    <t>FR-64-0629a</t>
  </si>
  <si>
    <t>Bousquau</t>
  </si>
  <si>
    <t>Cot de Bousquau</t>
  </si>
  <si>
    <t>078-055</t>
  </si>
  <si>
    <t>720-4770-24-21</t>
  </si>
  <si>
    <t>000°16'04.7"W</t>
  </si>
  <si>
    <t>43°04'10.0"N</t>
  </si>
  <si>
    <t>La localisation n'est pas précise. Par ailleurs. "cot" peut aussi signifier une hauteur. un lieu quelconque. Le toponyme est donc. lui aussi. imprécis.</t>
  </si>
  <si>
    <t>FR-64-0650</t>
  </si>
  <si>
    <t>Pas det ~</t>
  </si>
  <si>
    <t>Cu</t>
  </si>
  <si>
    <t>Pas det Cu</t>
  </si>
  <si>
    <t>1546O</t>
  </si>
  <si>
    <t>029-014</t>
  </si>
  <si>
    <t>685-4765-34-20</t>
  </si>
  <si>
    <t>000°41'15.8"W</t>
  </si>
  <si>
    <t>43°01'57.9"N</t>
  </si>
  <si>
    <t>Le réticule bleu correspond à la localisation du toponyme sur la Bdnyme de l'IGN. Il pointe sur le nom lui-même. Ceci indique que le toponyme nomme tout un secteur (y compris la gorge du Gave d'Issaux) Il ne s'agit donc pas d'un col.</t>
  </si>
  <si>
    <t>FR-64-0870</t>
  </si>
  <si>
    <t>Estes</t>
  </si>
  <si>
    <t>Pas des Estes</t>
  </si>
  <si>
    <t>007-035</t>
  </si>
  <si>
    <t>685-4765-11-41</t>
  </si>
  <si>
    <t>000°42'53.7"W</t>
  </si>
  <si>
    <t>43°03'05.4"N</t>
  </si>
  <si>
    <t>FR-64-0934</t>
  </si>
  <si>
    <t>~lepoa
~lepho
Port d'~</t>
  </si>
  <si>
    <t>Ar
Har
Arleppa</t>
  </si>
  <si>
    <t>Arlepoa
Harlepho
Port d'Arleppa</t>
  </si>
  <si>
    <t>212-015</t>
  </si>
  <si>
    <t>645-4765-31-12</t>
  </si>
  <si>
    <t>001°10'57.3"W</t>
  </si>
  <si>
    <t>43°02'01.2"N</t>
  </si>
  <si>
    <t>Col situé complètement en Espagne</t>
  </si>
  <si>
    <t>FR-64-0996</t>
  </si>
  <si>
    <t>Port de ~</t>
  </si>
  <si>
    <t>Béon</t>
  </si>
  <si>
    <t>Port de Béon</t>
  </si>
  <si>
    <t>1546E</t>
  </si>
  <si>
    <t>254-036</t>
  </si>
  <si>
    <t>710-4765-09-49</t>
  </si>
  <si>
    <t>000°24'38.4"W</t>
  </si>
  <si>
    <t>43°03'08.6"N</t>
  </si>
  <si>
    <t>Le toponyme s'applique à une vaste combe. Il ne s'agit pas d'un col</t>
  </si>
  <si>
    <t>FR-64-1165</t>
  </si>
  <si>
    <t>Pédang</t>
  </si>
  <si>
    <t>Pas de Pédang</t>
  </si>
  <si>
    <t>1547O</t>
  </si>
  <si>
    <t>041-161</t>
  </si>
  <si>
    <t>685-4760-47-18</t>
  </si>
  <si>
    <t>000°40'25.3"W</t>
  </si>
  <si>
    <t>42°59'06.8"N</t>
  </si>
  <si>
    <t>Il s'agit d'un passage délicat au fond d'une combe.</t>
  </si>
  <si>
    <t>FR-64-1300</t>
  </si>
  <si>
    <t>Louste</t>
  </si>
  <si>
    <t>Pas de Louste</t>
  </si>
  <si>
    <t>010-033</t>
  </si>
  <si>
    <t>715-4765-07-48</t>
  </si>
  <si>
    <t>000°21'06.3"W</t>
  </si>
  <si>
    <t>43°02'59.4"N</t>
  </si>
  <si>
    <t>FR-64-1305</t>
  </si>
  <si>
    <t>Le pas de l'~</t>
  </si>
  <si>
    <t>Le pas de l'Ours</t>
  </si>
  <si>
    <t>177-043</t>
  </si>
  <si>
    <t>700-4770-31-03</t>
  </si>
  <si>
    <t>000°30'22.0"W</t>
  </si>
  <si>
    <t>43°03'30.8"N</t>
  </si>
  <si>
    <t>Il s'agit d'une combe. Un passage pour deux sentiers et non un col.</t>
  </si>
  <si>
    <t>FR-64-1323</t>
  </si>
  <si>
    <t>Trencade</t>
  </si>
  <si>
    <t>Col de la Trencade</t>
  </si>
  <si>
    <t>135-057</t>
  </si>
  <si>
    <t>725-4770-31-26</t>
  </si>
  <si>
    <t>FR-65</t>
  </si>
  <si>
    <t>000°11'52.6"W</t>
  </si>
  <si>
    <t>43°04'17.7"N</t>
  </si>
  <si>
    <t>Col mal positionné. doublon avec le FR-64-1260.</t>
  </si>
  <si>
    <t>FR-64-1473b</t>
  </si>
  <si>
    <t>~ Lepoua</t>
  </si>
  <si>
    <t>Khapariako</t>
  </si>
  <si>
    <t>Khapariako Lepoua</t>
  </si>
  <si>
    <t>1446E</t>
  </si>
  <si>
    <t>224-000</t>
  </si>
  <si>
    <t>675-4765-36-04</t>
  </si>
  <si>
    <t>000°48'28.9"W</t>
  </si>
  <si>
    <t>43°01'12.3"N</t>
  </si>
  <si>
    <t>Doublon avec le FR-64-1473a.</t>
  </si>
  <si>
    <t>FR-64-1525</t>
  </si>
  <si>
    <t>Pas d'~
Pas d'~</t>
  </si>
  <si>
    <t>Ourdinse
Oursinse</t>
  </si>
  <si>
    <t>Pas d'Ourdinse
Pas d'Oursinse</t>
  </si>
  <si>
    <t>129-192</t>
  </si>
  <si>
    <t>695-4765-34-01</t>
  </si>
  <si>
    <t>000°33'54.6"W</t>
  </si>
  <si>
    <t>43°00'46.3"N</t>
  </si>
  <si>
    <t>FR-64-1635a</t>
  </si>
  <si>
    <t>Escalé d'~
Col d'~
Passo d'~</t>
  </si>
  <si>
    <t>Aigue-Torte
Aiguetorte
Escalé</t>
  </si>
  <si>
    <t>Escalé d'Aigue-Torte
Col d'Aiguetorte
Passo d'Escalé</t>
  </si>
  <si>
    <t>1548O</t>
  </si>
  <si>
    <t>(193)-(034)</t>
  </si>
  <si>
    <t>695-4740-12-24</t>
  </si>
  <si>
    <t>ES</t>
  </si>
  <si>
    <t>000°35'59.3"W</t>
  </si>
  <si>
    <t>42°48'32.4"N</t>
  </si>
  <si>
    <t>Escalé désigne une voie d'accès difficile et non un col. Ici: une gorge.</t>
  </si>
  <si>
    <t>FR-64-1750</t>
  </si>
  <si>
    <t>Port d'~</t>
  </si>
  <si>
    <t>Aspe</t>
  </si>
  <si>
    <t>Port d'Aspe</t>
  </si>
  <si>
    <t>126-(064)</t>
  </si>
  <si>
    <t>695-4735-38-45</t>
  </si>
  <si>
    <t>000°34'09.5"W</t>
  </si>
  <si>
    <t>42°46'56.6"N</t>
  </si>
  <si>
    <t>FR-64-1765</t>
  </si>
  <si>
    <t>Lèche</t>
  </si>
  <si>
    <t>Col de Lèche</t>
  </si>
  <si>
    <t>1447E</t>
  </si>
  <si>
    <t>251-145</t>
  </si>
  <si>
    <t>680-4755-14-49</t>
  </si>
  <si>
    <t>S-GR10</t>
  </si>
  <si>
    <t>000°46'32.3"W</t>
  </si>
  <si>
    <t>42°58'12.7"N</t>
  </si>
  <si>
    <t>Carte Opencyclemap non reconnue comme source valable</t>
  </si>
  <si>
    <t>FR-64-1795a</t>
  </si>
  <si>
    <t>Moustis</t>
  </si>
  <si>
    <t>Col de Moustis</t>
  </si>
  <si>
    <t>1547E</t>
  </si>
  <si>
    <t>166-070</t>
  </si>
  <si>
    <t>700-4750-24-30</t>
  </si>
  <si>
    <t>000°31'13.1"W</t>
  </si>
  <si>
    <t>42°54'10.2"N</t>
  </si>
  <si>
    <t>Nomination indirecte sur cadastre, source insuffisante</t>
  </si>
  <si>
    <t>FR-64-1810</t>
  </si>
  <si>
    <t>Ourtasse</t>
  </si>
  <si>
    <t>Pas d'Ourtasse</t>
  </si>
  <si>
    <t>160-095</t>
  </si>
  <si>
    <t>700-4755-18-05</t>
  </si>
  <si>
    <t>000°31'39.2"W</t>
  </si>
  <si>
    <t>42°55'32.6"N</t>
  </si>
  <si>
    <t>FR-64-2055b</t>
  </si>
  <si>
    <t>Seguit</t>
  </si>
  <si>
    <t>Col de Seguit</t>
  </si>
  <si>
    <t>158-080</t>
  </si>
  <si>
    <t>700-4750-16-40</t>
  </si>
  <si>
    <t>000°31'48.0"W</t>
  </si>
  <si>
    <t>42°54'41.6"N</t>
  </si>
  <si>
    <t>Topographie insuffisante, c'est le sommet qui pourrait être nommé.</t>
  </si>
  <si>
    <t>FR-65-0440</t>
  </si>
  <si>
    <t>Bidalet</t>
  </si>
  <si>
    <t>Col de Bidalet</t>
  </si>
  <si>
    <t>1746O</t>
  </si>
  <si>
    <t>044-107</t>
  </si>
  <si>
    <t>260-4775-01-30</t>
  </si>
  <si>
    <t>000°03'03.0"E</t>
  </si>
  <si>
    <t>43°06'58.6"N</t>
  </si>
  <si>
    <t>Panneau publicitaire pour une chambre d'hôtes et localisation incertaine.</t>
  </si>
  <si>
    <t>FR-65-0445</t>
  </si>
  <si>
    <t>Cot d'~</t>
  </si>
  <si>
    <t>Espoune</t>
  </si>
  <si>
    <t>Cot d'Espoune</t>
  </si>
  <si>
    <t>1646E</t>
  </si>
  <si>
    <t>274-116</t>
  </si>
  <si>
    <t>740-4775-19-39</t>
  </si>
  <si>
    <t>342-L04-076-092</t>
  </si>
  <si>
    <t>D95</t>
  </si>
  <si>
    <t>000°01'35.4"W</t>
  </si>
  <si>
    <t>43°07'27.2"N</t>
  </si>
  <si>
    <t>FR-65-0521</t>
  </si>
  <si>
    <t>Chez Couret</t>
  </si>
  <si>
    <t>234-000</t>
  </si>
  <si>
    <t>735-4765-32-22</t>
  </si>
  <si>
    <t>342-L04-049-015</t>
  </si>
  <si>
    <t>CV(S)</t>
  </si>
  <si>
    <t>000°04'34.3"W</t>
  </si>
  <si>
    <t xml:space="preserve">Désigne l'habitation de monsieur Couret et non un col </t>
  </si>
  <si>
    <t>FR-65-0550</t>
  </si>
  <si>
    <t>Le Couret</t>
  </si>
  <si>
    <t>1846O</t>
  </si>
  <si>
    <t>038-042</t>
  </si>
  <si>
    <t>285-4770-35-05</t>
  </si>
  <si>
    <t>000°24'10.7"E</t>
  </si>
  <si>
    <t>43°03'28.7"N</t>
  </si>
  <si>
    <t>Topographie ne correspond pas à celle d'un col ce couret se situe dans une combe.</t>
  </si>
  <si>
    <t>FR-65-0556</t>
  </si>
  <si>
    <t>Courade</t>
  </si>
  <si>
    <t>291-111</t>
  </si>
  <si>
    <t>740-4775-36-35</t>
  </si>
  <si>
    <t>342-L04-088-089</t>
  </si>
  <si>
    <t>000°00'18.4"W</t>
  </si>
  <si>
    <t>43°07'10.7"N</t>
  </si>
  <si>
    <t>FR-65-0560</t>
  </si>
  <si>
    <t>1647E</t>
  </si>
  <si>
    <t>215-165</t>
  </si>
  <si>
    <t>735-4760-15-36</t>
  </si>
  <si>
    <t>342-L05-036-115</t>
  </si>
  <si>
    <t>000°05'58.5"W</t>
  </si>
  <si>
    <t>42°59'19.5"N</t>
  </si>
  <si>
    <t>Nom d'un hameau à mi-pente</t>
  </si>
  <si>
    <t>FR-65-0577</t>
  </si>
  <si>
    <t>La ~</t>
  </si>
  <si>
    <t>La Courade</t>
  </si>
  <si>
    <t>019-118</t>
  </si>
  <si>
    <t>255-4775-26-41</t>
  </si>
  <si>
    <t>000°01'10.4"E</t>
  </si>
  <si>
    <t>43°07'33.6"N</t>
  </si>
  <si>
    <t>FR-65-0763</t>
  </si>
  <si>
    <t>Très Cots</t>
  </si>
  <si>
    <t>190-121</t>
  </si>
  <si>
    <t>300-4755-34-29</t>
  </si>
  <si>
    <t>000°35'23.1"E</t>
  </si>
  <si>
    <t>42°56'55.1"N</t>
  </si>
  <si>
    <t>Cot est un intitulé douteux. Pas de col topographique.</t>
  </si>
  <si>
    <t>FR-65-0895</t>
  </si>
  <si>
    <t>Col de ~
Cot det ~</t>
  </si>
  <si>
    <t>Caillau
Caillaou</t>
  </si>
  <si>
    <t>Col de Caillau
Cot det Caillaou</t>
  </si>
  <si>
    <t>1847O</t>
  </si>
  <si>
    <t>076-196</t>
  </si>
  <si>
    <t>290-4765-22-08</t>
  </si>
  <si>
    <t>000°26'58.5"E</t>
  </si>
  <si>
    <t>43°00'59.5"N</t>
  </si>
  <si>
    <t>La mention "Col" n'apparait que sur la carte IGN. les différents cadastres ne mentionne que "Cot" d'autre part IGN nous a précisé que " Col de Caillau" ne figure pas sa base de données. Nous sommes ici en présence d'une colline</t>
  </si>
  <si>
    <t>FR-65-0932</t>
  </si>
  <si>
    <t>Arras</t>
  </si>
  <si>
    <t>Col d'Arras</t>
  </si>
  <si>
    <t>188-181</t>
  </si>
  <si>
    <t>730-4765-37-01</t>
  </si>
  <si>
    <t>342-L04-018-002</t>
  </si>
  <si>
    <t>CV/S</t>
  </si>
  <si>
    <t>000°07'59.5"W</t>
  </si>
  <si>
    <t>43°00'10.0"N</t>
  </si>
  <si>
    <t>2002 - N°30</t>
  </si>
  <si>
    <t>Doublon avec le FR-65-0933 (Anciennement : Source considérée comme insuffisante).</t>
  </si>
  <si>
    <t>FR-65-0934</t>
  </si>
  <si>
    <t>Barane</t>
  </si>
  <si>
    <t>Pas de la Barane</t>
  </si>
  <si>
    <t>1747E</t>
  </si>
  <si>
    <t>191-139</t>
  </si>
  <si>
    <t>270-4760-41-06</t>
  </si>
  <si>
    <t>342-N05-035-098</t>
  </si>
  <si>
    <t>D918</t>
  </si>
  <si>
    <t>000°13'49.4"E</t>
  </si>
  <si>
    <t>42°57'53.7"N</t>
  </si>
  <si>
    <t>Ce pas désigne un lieu-dit en fond de vallée</t>
  </si>
  <si>
    <t>FR-65-0940</t>
  </si>
  <si>
    <t>Jeon</t>
  </si>
  <si>
    <t>Cot de Jeon</t>
  </si>
  <si>
    <t>216-122</t>
  </si>
  <si>
    <t>305-4755-10-30</t>
  </si>
  <si>
    <t>000°37'17.6"E</t>
  </si>
  <si>
    <t>42°56'58.7"N</t>
  </si>
  <si>
    <t>Trop d'incertitudes sur la localisation qui pourrait être le sommet à 969 m. Cot est un intitulé peu fiable.</t>
  </si>
  <si>
    <t>FR-65-0990</t>
  </si>
  <si>
    <t>Tartas</t>
  </si>
  <si>
    <t>Pas de Tartas</t>
  </si>
  <si>
    <t>1647O</t>
  </si>
  <si>
    <t>060-151</t>
  </si>
  <si>
    <t>720-4760-10-17</t>
  </si>
  <si>
    <t>000°17'23.8"W</t>
  </si>
  <si>
    <t>42°58'32.2"N</t>
  </si>
  <si>
    <t>2000 - N°30</t>
  </si>
  <si>
    <t>FR-65-1110</t>
  </si>
  <si>
    <t>Ris</t>
  </si>
  <si>
    <t>Col de Ris</t>
  </si>
  <si>
    <t>030-056</t>
  </si>
  <si>
    <t>285-4750-22-20</t>
  </si>
  <si>
    <t>342-O05-033-042</t>
  </si>
  <si>
    <t>000°23'37.5"E</t>
  </si>
  <si>
    <t>42°53'26.1"N</t>
  </si>
  <si>
    <t>Col nommé sur un ouvrage non reconnu par le CCC</t>
  </si>
  <si>
    <t>FR-65-1115</t>
  </si>
  <si>
    <t>Losse</t>
  </si>
  <si>
    <t>Cot de la Losse</t>
  </si>
  <si>
    <t>177-090</t>
  </si>
  <si>
    <t>300-4750-20-49</t>
  </si>
  <si>
    <t>000°34'25.8"E</t>
  </si>
  <si>
    <t>42°55'15.5"N</t>
  </si>
  <si>
    <t>Aucun col topographique ne s'impose sur la feuille cadastrale portant le nom de "Cot de Losse". Cot peut désigner un sommet ou un versant. il semble que ce soit le cas ici.</t>
  </si>
  <si>
    <t>FR-65-1120</t>
  </si>
  <si>
    <t>Lançon</t>
  </si>
  <si>
    <t>Col de Lançon</t>
  </si>
  <si>
    <t>010-049</t>
  </si>
  <si>
    <t>285-4750-02-13</t>
  </si>
  <si>
    <t>342-O05-019-038</t>
  </si>
  <si>
    <t>000°22'09.1"E</t>
  </si>
  <si>
    <t>42°53'03.8"N</t>
  </si>
  <si>
    <t>FR-65-1305</t>
  </si>
  <si>
    <t>Passade de ~</t>
  </si>
  <si>
    <t>Barbé</t>
  </si>
  <si>
    <t>Passade de Barbé</t>
  </si>
  <si>
    <t>159-144</t>
  </si>
  <si>
    <t>300-4760-04-04</t>
  </si>
  <si>
    <t>342-P05-028-101</t>
  </si>
  <si>
    <t>000°33'07.4"E</t>
  </si>
  <si>
    <t>42°58'10.9"N</t>
  </si>
  <si>
    <t>Simple passage dans la falaise</t>
  </si>
  <si>
    <t>FR-65-1800</t>
  </si>
  <si>
    <t>Sarroues</t>
  </si>
  <si>
    <t>Pas de Sarroues</t>
  </si>
  <si>
    <t>1748E</t>
  </si>
  <si>
    <t>222-(073)</t>
  </si>
  <si>
    <t>275-4735-15-44</t>
  </si>
  <si>
    <t>000°16'03.8"E</t>
  </si>
  <si>
    <t>42°46'28.8"N</t>
  </si>
  <si>
    <t>Passage difficile à flanc. Il ne s'agit pas d'un col.</t>
  </si>
  <si>
    <t>FR-65-1805</t>
  </si>
  <si>
    <t>Cot d'~
Cot d'~</t>
  </si>
  <si>
    <t>Omi
Homme</t>
  </si>
  <si>
    <t>Cot d'Omi
Cot d'Homme</t>
  </si>
  <si>
    <t>201-088</t>
  </si>
  <si>
    <t>735-4755-03-08</t>
  </si>
  <si>
    <t>000°07'02.2"W</t>
  </si>
  <si>
    <t>42°55'08.3"N</t>
  </si>
  <si>
    <t>Cot ne désigne pas toujours un col. il s'agit ici plutôt d'une montagne ou d'un sommet.</t>
  </si>
  <si>
    <t>FR-65-1835</t>
  </si>
  <si>
    <t>Passage l'~</t>
  </si>
  <si>
    <t>Estibet d'Estom</t>
  </si>
  <si>
    <t>Passage l'Estibet d'Estom</t>
  </si>
  <si>
    <t>1648E</t>
  </si>
  <si>
    <t>214-(037)</t>
  </si>
  <si>
    <t>735-4740-20-35</t>
  </si>
  <si>
    <t>000°06'06.8"W</t>
  </si>
  <si>
    <t>42°48'25.4"N</t>
  </si>
  <si>
    <t>FR-65-1904</t>
  </si>
  <si>
    <t>Car</t>
  </si>
  <si>
    <t>Pas det Car</t>
  </si>
  <si>
    <t>172-068</t>
  </si>
  <si>
    <t>270-4750-20-36</t>
  </si>
  <si>
    <t>000°12'27.7"E</t>
  </si>
  <si>
    <t>42°54'04.3"N</t>
  </si>
  <si>
    <t>FR-65-2125</t>
  </si>
  <si>
    <t>le Cot</t>
  </si>
  <si>
    <t>1748O</t>
  </si>
  <si>
    <t>082-082</t>
  </si>
  <si>
    <t>260-4735-24-03</t>
  </si>
  <si>
    <t>000°05'49.4"E</t>
  </si>
  <si>
    <t>Difficile de déterminer quel est le point du relief désigné par ce Cot, et encore plus difficile de voir un col dans le coin</t>
  </si>
  <si>
    <t>FR-65-2554</t>
  </si>
  <si>
    <t>Port ~</t>
  </si>
  <si>
    <t>Bieil</t>
  </si>
  <si>
    <t>Port Bieil</t>
  </si>
  <si>
    <t>1747O</t>
  </si>
  <si>
    <t>127-021</t>
  </si>
  <si>
    <t>265-4745-23-41</t>
  </si>
  <si>
    <t>000°09'07.3"E</t>
  </si>
  <si>
    <t>42°51'32.1"N</t>
  </si>
  <si>
    <t>Désigne plutôt une crète ou un alias du col de Barège</t>
  </si>
  <si>
    <t>FR-65-2752</t>
  </si>
  <si>
    <t>Difficile</t>
  </si>
  <si>
    <t>Passage Difficile</t>
  </si>
  <si>
    <t>216-(138)</t>
  </si>
  <si>
    <t>275-4730-06-29</t>
  </si>
  <si>
    <t>ES-HU-2752</t>
  </si>
  <si>
    <t>000°15'36.6"E</t>
  </si>
  <si>
    <t>Le manque de référence cartographique justifie cette suppression</t>
  </si>
  <si>
    <t>FR-65-2935a</t>
  </si>
  <si>
    <t>Pas du Chat</t>
  </si>
  <si>
    <t>108-(140)</t>
  </si>
  <si>
    <t>260-4730-48-31</t>
  </si>
  <si>
    <t>000°07'41.5"E</t>
  </si>
  <si>
    <t>Plus un passage difficile qu'un col, non présent sur les cartes espagnoles et difficile à positionner sur carte IGN</t>
  </si>
  <si>
    <t>FR-66-0022</t>
  </si>
  <si>
    <t>Collada</t>
  </si>
  <si>
    <t>La Collada</t>
  </si>
  <si>
    <t>2549O</t>
  </si>
  <si>
    <t>034-145</t>
  </si>
  <si>
    <t>490-4715-33-26</t>
  </si>
  <si>
    <t>344-I07-047-082</t>
  </si>
  <si>
    <t>002°55'07.1"E</t>
  </si>
  <si>
    <t>42°36'39.4"N</t>
  </si>
  <si>
    <t>Une topographie très peu marquée.</t>
  </si>
  <si>
    <t>FR-66-0133a</t>
  </si>
  <si>
    <t>Le Trou du ~</t>
  </si>
  <si>
    <t>Le Trou du Buis</t>
  </si>
  <si>
    <t>024-021</t>
  </si>
  <si>
    <t>490-4745-23-02</t>
  </si>
  <si>
    <t>002°54'21.7"E</t>
  </si>
  <si>
    <t>42°51'32.8"N</t>
  </si>
  <si>
    <t>Le Trou du Buis est le nom d'une doline (dépression karstique) Il ne s'agit pas d'un col.</t>
  </si>
  <si>
    <t>FR-66-0250a</t>
  </si>
  <si>
    <t>Escale</t>
  </si>
  <si>
    <t>Pas de l'Escale</t>
  </si>
  <si>
    <t>229-008</t>
  </si>
  <si>
    <t>480-4740-34-39</t>
  </si>
  <si>
    <t>344-H05-071-010</t>
  </si>
  <si>
    <t>D12/D9</t>
  </si>
  <si>
    <t>002°47'49.5"E</t>
  </si>
  <si>
    <t>42°50'50.6"N</t>
  </si>
  <si>
    <t xml:space="preserve">Il ne s'agit pas d'un col mais d'un passage en forme de gorge sur rebord d'une corniche dominant Vingrau. Le cadastre indique un secteur portant le nom de "Pas de l'Escale" et ce secteur ne comprend que la gorge et une partie de la plaine de Vingrau. Rien n'indique la présence d'un col topographique. </t>
  </si>
  <si>
    <t>FR-66-0250b</t>
  </si>
  <si>
    <t>Pas de les ~</t>
  </si>
  <si>
    <t>Garbes</t>
  </si>
  <si>
    <t>Pas de les Garbes</t>
  </si>
  <si>
    <t>229-006</t>
  </si>
  <si>
    <t>480-4740-35-37</t>
  </si>
  <si>
    <t>002°47'50.9"E</t>
  </si>
  <si>
    <t>Pas un col mais un passage dans la falaise</t>
  </si>
  <si>
    <t>FR-66-0452</t>
  </si>
  <si>
    <t>Collet de las ~</t>
  </si>
  <si>
    <t>Fourques</t>
  </si>
  <si>
    <t>Collet de las Fourques</t>
  </si>
  <si>
    <t>2450O</t>
  </si>
  <si>
    <t>122-(017)</t>
  </si>
  <si>
    <t>470-4700-25-15</t>
  </si>
  <si>
    <t>002°39'55.6"E</t>
  </si>
  <si>
    <t>42°27'53.9"N</t>
  </si>
  <si>
    <t>Topographie non conforme, "collet" peut désigner ici une colline</t>
  </si>
  <si>
    <t>FR-66-0695</t>
  </si>
  <si>
    <t>Col d'en ~</t>
  </si>
  <si>
    <t>Berderol</t>
  </si>
  <si>
    <t>Col d'en Berderol</t>
  </si>
  <si>
    <t>123-009</t>
  </si>
  <si>
    <t>500-4700-22-39</t>
  </si>
  <si>
    <t>003°01'34.9"E</t>
  </si>
  <si>
    <t>42°29'15.6"N</t>
  </si>
  <si>
    <t>1982 - Add 1 à 7</t>
  </si>
  <si>
    <t>Erreur de localisation et de nom. Voir FR-66-0775a</t>
  </si>
  <si>
    <t>FR-66-0696a</t>
  </si>
  <si>
    <t>Sagué</t>
  </si>
  <si>
    <t>Col du Sagué</t>
  </si>
  <si>
    <t>051-(079)</t>
  </si>
  <si>
    <t>465-4695-03-03</t>
  </si>
  <si>
    <t>344-G08-043-(067)</t>
  </si>
  <si>
    <t>D64</t>
  </si>
  <si>
    <t>002°34'41.0"E</t>
  </si>
  <si>
    <t>Trop d'incertitude La seule source est le panneau dont la position n'est pas déterminée, l'altitude portée sur celui-ci ne correspond pas à celle du seul  col topographique sur cette route.</t>
  </si>
  <si>
    <t>FR-66-0730</t>
  </si>
  <si>
    <t>Rouja</t>
  </si>
  <si>
    <t>Col Rouja</t>
  </si>
  <si>
    <t>078-(145)</t>
  </si>
  <si>
    <t>465-4685-30-37</t>
  </si>
  <si>
    <t>002°36'41.1"E</t>
  </si>
  <si>
    <t>42°20'58.4"N</t>
  </si>
  <si>
    <t>Une localisation encore trop incertaine sur une carte ancienne.</t>
  </si>
  <si>
    <t>FR-66-0875</t>
  </si>
  <si>
    <t>Coll de les ~
Col de ~</t>
  </si>
  <si>
    <t>Uixes
Souche</t>
  </si>
  <si>
    <t>Coll de les Uixes
Col de Souche</t>
  </si>
  <si>
    <t>2450E</t>
  </si>
  <si>
    <t>207-147</t>
  </si>
  <si>
    <t>480-4695-09-28</t>
  </si>
  <si>
    <t>002°46'05.4"E</t>
  </si>
  <si>
    <t>42°25'55.8"N</t>
  </si>
  <si>
    <t>Nomination indirecte trop imprécise</t>
  </si>
  <si>
    <t>FR-66-0895</t>
  </si>
  <si>
    <t>Creu del ~</t>
  </si>
  <si>
    <t>Fous</t>
  </si>
  <si>
    <t>Creu del Fous</t>
  </si>
  <si>
    <t>2449O</t>
  </si>
  <si>
    <t>007-130</t>
  </si>
  <si>
    <t>460-4715-11-12</t>
  </si>
  <si>
    <t>002°31'31.0"E</t>
  </si>
  <si>
    <t>42°35'50.3"N</t>
  </si>
  <si>
    <t>Creu n'est pas intitulé reconnu signifiant "col". Il se traduit par "croix" ou "croisement".</t>
  </si>
  <si>
    <t>FR-66-1084</t>
  </si>
  <si>
    <t>Créu d'en ~</t>
  </si>
  <si>
    <t>Touron</t>
  </si>
  <si>
    <t>Créu d'en Touron</t>
  </si>
  <si>
    <t>036-077</t>
  </si>
  <si>
    <t>460-4710-39-09</t>
  </si>
  <si>
    <t>R2(E)</t>
  </si>
  <si>
    <t>002°33'39.2"E</t>
  </si>
  <si>
    <t>42°32'57.6"N</t>
  </si>
  <si>
    <t>FR-66-1085</t>
  </si>
  <si>
    <t>Coll del ~</t>
  </si>
  <si>
    <t>Poou</t>
  </si>
  <si>
    <t>Coll del Poou</t>
  </si>
  <si>
    <t>2550O</t>
  </si>
  <si>
    <t>043-(004)</t>
  </si>
  <si>
    <t>490-4700-42-26</t>
  </si>
  <si>
    <t>002°55'45.7"E</t>
  </si>
  <si>
    <t>42°28'33.6"N</t>
  </si>
  <si>
    <t>Il ne s'agit pas d'un nouveau col mais de l'Alias du col des trois Termes: FR-66-1110a</t>
  </si>
  <si>
    <t>FR-66-1220</t>
  </si>
  <si>
    <t>Col du ~
Coll de ~</t>
  </si>
  <si>
    <t>Puits de la Neige de Las Illas
Céret</t>
  </si>
  <si>
    <t>Col du Puits de la Neige de Las Illas
Coll de Céret</t>
  </si>
  <si>
    <t>197-(061)</t>
  </si>
  <si>
    <t>475-4695-50-20</t>
  </si>
  <si>
    <t>ES-GI-1215a</t>
  </si>
  <si>
    <t>002°45'23.9"E</t>
  </si>
  <si>
    <t xml:space="preserve">La carte IGN de 1950 qui nomme ce col frontalier n'est pas précise et il n'y a pas de col topographiquement correct aux alentours, les cartes espagnoles ne mentionnent pas ce col, </t>
  </si>
  <si>
    <t>FR-66-1255</t>
  </si>
  <si>
    <t>Saint Michel</t>
  </si>
  <si>
    <t>Col de Saint Michel</t>
  </si>
  <si>
    <t>2250O</t>
  </si>
  <si>
    <t>083-(033)</t>
  </si>
  <si>
    <t>405-4700-44-03</t>
  </si>
  <si>
    <t>R2</t>
  </si>
  <si>
    <t>001°53'51.5"E</t>
  </si>
  <si>
    <t>Aucun justificatif pour ce col à la topographie non satisfaisante</t>
  </si>
  <si>
    <t>FR-66-1328</t>
  </si>
  <si>
    <t>Couillade de la ~</t>
  </si>
  <si>
    <t>Jasse de Primevert</t>
  </si>
  <si>
    <t>Couillade de la Jasse de Primevert</t>
  </si>
  <si>
    <t>2350E</t>
  </si>
  <si>
    <t>(003)-(159)</t>
  </si>
  <si>
    <t>455-4685-49-23</t>
  </si>
  <si>
    <t>ES-NA-1326</t>
  </si>
  <si>
    <t>002°30'46.4"E</t>
  </si>
  <si>
    <t>Cols nommés sur 2 cartes anciennes imprécises sa position exacte est plutôt confondue avec Collada Fonda FR-66-1340</t>
  </si>
  <si>
    <t>FR-66-1329</t>
  </si>
  <si>
    <t>~
Collet del ~</t>
  </si>
  <si>
    <t>Les Collades
Pla de l'Estiu</t>
  </si>
  <si>
    <t>Les Collades
Collet del Pla de l'Estiu</t>
  </si>
  <si>
    <t>155-(074)</t>
  </si>
  <si>
    <t>475-4695-08-07</t>
  </si>
  <si>
    <t>GR HRP</t>
  </si>
  <si>
    <t>ES-GI-1329</t>
  </si>
  <si>
    <t>002°42'20.1"E</t>
  </si>
  <si>
    <t>Toutes les sources font référence à FR-66-1275, Collada de Pla Joanal,  les Collades sont déjà un alias de ce col.</t>
  </si>
  <si>
    <t>FR-66-1377</t>
  </si>
  <si>
    <t>Coll dels ~
Collet dels ~</t>
  </si>
  <si>
    <t>Contrabandistes
Contrabandistes</t>
  </si>
  <si>
    <t>Coll dels Contrabandistes
Collet dels Contrabandistes</t>
  </si>
  <si>
    <t>(040)-(137)</t>
  </si>
  <si>
    <t>455-4685-12-45</t>
  </si>
  <si>
    <t>ES-GI-1377</t>
  </si>
  <si>
    <t>002°28'07.0"E</t>
  </si>
  <si>
    <t>FR-66-1430a</t>
  </si>
  <si>
    <t>Los ~</t>
  </si>
  <si>
    <t>Collettes</t>
  </si>
  <si>
    <t>Los Collettes</t>
  </si>
  <si>
    <t>006-(012)</t>
  </si>
  <si>
    <t>460-4700-09-20</t>
  </si>
  <si>
    <t>002°31'26.1"E</t>
  </si>
  <si>
    <t>42°28'09.5"N</t>
  </si>
  <si>
    <t>Désigne une hauteur et plutôt tout un secteur.</t>
  </si>
  <si>
    <t>FR-66-1436</t>
  </si>
  <si>
    <t>Coll de les ~</t>
  </si>
  <si>
    <t>Moles</t>
  </si>
  <si>
    <t>Coll de les Moles</t>
  </si>
  <si>
    <t>(042)-(133)</t>
  </si>
  <si>
    <t>455-4685-10-50</t>
  </si>
  <si>
    <t>R1-2, Interdit(NNO)</t>
  </si>
  <si>
    <t>ES-GI-1436</t>
  </si>
  <si>
    <t>002°27'57.7"E</t>
  </si>
  <si>
    <t xml:space="preserve">Cet intitulé vagabond entre la France et la frontière espagnole en fonction des sources cartographiques n'inspirent guère confiance </t>
  </si>
  <si>
    <t>FR-66-1728</t>
  </si>
  <si>
    <t>Bec</t>
  </si>
  <si>
    <t>Coll del Bec</t>
  </si>
  <si>
    <t>2249E</t>
  </si>
  <si>
    <t>184-024</t>
  </si>
  <si>
    <t>415-4705-46-09</t>
  </si>
  <si>
    <t>344-D07-011-001</t>
  </si>
  <si>
    <t>002°01'15.6"E</t>
  </si>
  <si>
    <t>42°30'05.8"N</t>
  </si>
  <si>
    <t>Il s'agit ici d'une colline</t>
  </si>
  <si>
    <t>FR-66-1825a</t>
  </si>
  <si>
    <t>Portella de ~</t>
  </si>
  <si>
    <t>Font Romeu</t>
  </si>
  <si>
    <t>Portella de Font Romeu</t>
  </si>
  <si>
    <t>196-035</t>
  </si>
  <si>
    <t>420-4705-08-20</t>
  </si>
  <si>
    <t>002°02'08.6"E</t>
  </si>
  <si>
    <t>42°30'41.5"N</t>
  </si>
  <si>
    <t>Il s'agit d'un passage sans ligne de partage des eaux. Les caractères topographiques d'un col sont absents.</t>
  </si>
  <si>
    <t>FR-66-1870</t>
  </si>
  <si>
    <t>Coillet d'en ~
Coillet d'en ~</t>
  </si>
  <si>
    <t>Cabourlé
Cabourné</t>
  </si>
  <si>
    <t>Coillet d'en Cabourlé
Coillet d'en Cabourné</t>
  </si>
  <si>
    <t>225-184</t>
  </si>
  <si>
    <t>420-4720-38-19</t>
  </si>
  <si>
    <t>002°04'14.6"E</t>
  </si>
  <si>
    <t>42°38'45.3"N</t>
  </si>
  <si>
    <t>"Coillet" sur le cadastre est un intitulé non valable mais surtout la carte indique "collet" et ce toponyme désigne une colline.</t>
  </si>
  <si>
    <t>FR-66-2430</t>
  </si>
  <si>
    <t>Portella de ~
Portella del ~</t>
  </si>
  <si>
    <t>Concros
Callau</t>
  </si>
  <si>
    <t>Portella de Concros
Portella del Callau</t>
  </si>
  <si>
    <t>2350O</t>
  </si>
  <si>
    <t>(165)-(059)</t>
  </si>
  <si>
    <t>Bouchière</t>
  </si>
  <si>
    <t>Collet de Bouchière</t>
  </si>
  <si>
    <t>3240O</t>
  </si>
  <si>
    <t>007-122</t>
  </si>
  <si>
    <t>690-4895-22-30</t>
  </si>
  <si>
    <t>005°24'20.8"E</t>
  </si>
  <si>
    <t>44°12'36.8"N</t>
  </si>
  <si>
    <t>Pas de caractères topographiques d'un col. Collet désigne ici une colline ou une hauteur. Collet est le diminutif de "colle" qui vient du latin "collis" qui signife colline.</t>
  </si>
  <si>
    <t>FR-26-0820</t>
  </si>
  <si>
    <t>Le Col des ~</t>
  </si>
  <si>
    <t>Le Col des Vignes</t>
  </si>
  <si>
    <t>109-128</t>
  </si>
  <si>
    <t>700-4895-23-39</t>
  </si>
  <si>
    <t>005°31'58.3"E</t>
  </si>
  <si>
    <t>44°12'56.0"N</t>
  </si>
  <si>
    <t>Il s'agit d'une crête qui culmine à 862m et non d'un col. "Le Col de..." (avec l'article Le) désigne dans la plupart des cas. un sommet dans les départements du sud de la France. il s'agit d'une déformation de "colle" (vient du latin "collis" qui signifie colline)</t>
  </si>
  <si>
    <t>FR-26-0830a</t>
  </si>
  <si>
    <t>Col l'~</t>
  </si>
  <si>
    <t>Egat</t>
  </si>
  <si>
    <t>Col l'Egat</t>
  </si>
  <si>
    <t>3236O</t>
  </si>
  <si>
    <t>028-145</t>
  </si>
  <si>
    <t>690-4980-19-03</t>
  </si>
  <si>
    <t>005°25'58.0"E</t>
  </si>
  <si>
    <t>44°57'00.2"N</t>
  </si>
  <si>
    <t>FR-26-0842</t>
  </si>
  <si>
    <t>Jérôme Cavalli</t>
  </si>
  <si>
    <t>Col Jérôme Cavalli</t>
  </si>
  <si>
    <t>056-008</t>
  </si>
  <si>
    <t>665-4965-16-10</t>
  </si>
  <si>
    <t>332-D05-057-119</t>
  </si>
  <si>
    <t>D732</t>
  </si>
  <si>
    <t>005°06'29.2"E</t>
  </si>
  <si>
    <t>44°49'39.1"N</t>
  </si>
  <si>
    <t>FR-26-0845</t>
  </si>
  <si>
    <t>Bœuf</t>
  </si>
  <si>
    <t>Collet du Bœuf</t>
  </si>
  <si>
    <t>094-140</t>
  </si>
  <si>
    <t>700-4900-09-00</t>
  </si>
  <si>
    <t>005°30'54.4"E</t>
  </si>
  <si>
    <t>44°13'33.0"N</t>
  </si>
  <si>
    <t>Il s'agit d'un sommet à 845 m et non d'un col. "Collet" désigne. dans la plupart des cas. un sommet dans les départements du sud-est de la France. Il s'agit du diminutif de "colle" qui vient du latin "collis" qui signifie colline.</t>
  </si>
  <si>
    <t>FR-26-0871</t>
  </si>
  <si>
    <t>Le Col l'~</t>
  </si>
  <si>
    <t>Evèque</t>
  </si>
  <si>
    <t>Le Col l'Evèque</t>
  </si>
  <si>
    <t>212-007</t>
  </si>
  <si>
    <t>680-4925-33-12</t>
  </si>
  <si>
    <t>005°18'14.1"E</t>
  </si>
  <si>
    <t>44°27'57.5"N</t>
  </si>
  <si>
    <t>Il s'agit d'une hauteur à 871m et non d'un col. "Le Col de..." (avec l'article Le) désigne dans la plupart des cas. un sommet dans les départements du sud de la France. il s'agit d'une déformation de "colle" (vient du latin "collis" qui signifie colline)</t>
  </si>
  <si>
    <t>FR-26-0880</t>
  </si>
  <si>
    <t>Baux</t>
  </si>
  <si>
    <t>Pas des Baux</t>
  </si>
  <si>
    <t>264-059</t>
  </si>
  <si>
    <t>685-4950-28-15</t>
  </si>
  <si>
    <t>005°22'13.0"E</t>
  </si>
  <si>
    <t>44°41'33.7"N</t>
  </si>
  <si>
    <t>1983 - N°11</t>
  </si>
  <si>
    <t>La localisation IGN (Bdnyme) ne correspond pas à un col topographique.</t>
  </si>
  <si>
    <t>FR-26-0935c</t>
  </si>
  <si>
    <t>Fontfène</t>
  </si>
  <si>
    <t>Pas de Fontfène</t>
  </si>
  <si>
    <t>057-037</t>
  </si>
  <si>
    <t>665-4965-17-38</t>
  </si>
  <si>
    <t>005°06'32.7"E</t>
  </si>
  <si>
    <t>44°51'11.8"N</t>
  </si>
  <si>
    <t>Il s'agit du passage d'un sentier au flanc d'une combe. La Bdnyme de l'IGN confirme cette position au pc 855.</t>
  </si>
  <si>
    <t>FR-26-0941</t>
  </si>
  <si>
    <t>Margeat</t>
  </si>
  <si>
    <t>Pas du Margeat</t>
  </si>
  <si>
    <t>081-059</t>
  </si>
  <si>
    <t>665-4970-40-11</t>
  </si>
  <si>
    <t>332-D04-074-030</t>
  </si>
  <si>
    <t>005°08'22.8"E</t>
  </si>
  <si>
    <t>44°52'23.1"N</t>
  </si>
  <si>
    <t>Pas de caractères topographiques d'un col. Il s'agit du passage au fond d'une petite combe.</t>
  </si>
  <si>
    <t>FR-26-0967</t>
  </si>
  <si>
    <t>Feuillées</t>
  </si>
  <si>
    <t>Pas des Feuillées</t>
  </si>
  <si>
    <t>035-118</t>
  </si>
  <si>
    <t>690-4975-27-27</t>
  </si>
  <si>
    <t>332-F04-057-069</t>
  </si>
  <si>
    <t>005°26'28.6"E</t>
  </si>
  <si>
    <t>44°55'35.7"N</t>
  </si>
  <si>
    <t>FR-26-0970b</t>
  </si>
  <si>
    <t>254-198</t>
  </si>
  <si>
    <t>685-4985-10-05</t>
  </si>
  <si>
    <t>S3-4. GR9</t>
  </si>
  <si>
    <t>005°21'34.7"E</t>
  </si>
  <si>
    <t>44°59'53.5"N</t>
  </si>
  <si>
    <t>Pas de caractères topographiques d'un col. Il s'agit du passage délicat pour franchir une corniche. (sans LPE)</t>
  </si>
  <si>
    <t>FR-26-0985b</t>
  </si>
  <si>
    <t>Lauze</t>
  </si>
  <si>
    <t>Pas de la Lauze</t>
  </si>
  <si>
    <t>3238O</t>
  </si>
  <si>
    <t>015-065</t>
  </si>
  <si>
    <t>690-4930-20-23</t>
  </si>
  <si>
    <t>005°24'56.1"E</t>
  </si>
  <si>
    <t>44°31'05.1"N</t>
  </si>
  <si>
    <t>440-4695-37-24</t>
  </si>
  <si>
    <t>ES-GI-2430</t>
  </si>
  <si>
    <t>002°18'56.8"E</t>
  </si>
  <si>
    <t>La position vagabonde de cet intitulé varie en fonction des sources, n'inspire pas confiance d'autant que la topographie n'est guère satisfaisante</t>
  </si>
  <si>
    <t>FR-67-0383</t>
  </si>
  <si>
    <t>Schaeferplatz</t>
  </si>
  <si>
    <t>095-107</t>
  </si>
  <si>
    <t>375-5395-19-00</t>
  </si>
  <si>
    <t>315-H04-078-022</t>
  </si>
  <si>
    <t>002°29'57.4"E</t>
  </si>
  <si>
    <t>43°35'40.0"N</t>
  </si>
  <si>
    <t>L'intitulé "Platz" n'est pas reconnu en France</t>
  </si>
  <si>
    <t>FR-67-0486</t>
  </si>
  <si>
    <t>Hungerplatz</t>
  </si>
  <si>
    <t>3717E</t>
  </si>
  <si>
    <t>149-184</t>
  </si>
  <si>
    <t>380-5360-15-26</t>
  </si>
  <si>
    <t>315-I06-032-054</t>
  </si>
  <si>
    <t>007°23'54.1"E</t>
  </si>
  <si>
    <t>48°24'20.2"N</t>
  </si>
  <si>
    <t>Topographie insuffisante. Absence d'intitulé signifiant col.</t>
  </si>
  <si>
    <t>FR-67-0754</t>
  </si>
  <si>
    <t>~platz</t>
  </si>
  <si>
    <t>Stangen</t>
  </si>
  <si>
    <t>Stangenplatz</t>
  </si>
  <si>
    <t>3717O</t>
  </si>
  <si>
    <t>083-067</t>
  </si>
  <si>
    <t>370-5350-46-10</t>
  </si>
  <si>
    <t>315-H07-070-099</t>
  </si>
  <si>
    <t>007°18'31.6"E</t>
  </si>
  <si>
    <t>48°18'00.0"N</t>
  </si>
  <si>
    <t>Absence d'intitulé signifiant col.</t>
  </si>
  <si>
    <t>FR-67-0858</t>
  </si>
  <si>
    <t>Porte de Pierre</t>
  </si>
  <si>
    <t>La Porte de Pierre</t>
  </si>
  <si>
    <t>3716O</t>
  </si>
  <si>
    <t>043-(054)</t>
  </si>
  <si>
    <t>370-5375-12-40</t>
  </si>
  <si>
    <t>S1-2 GR</t>
  </si>
  <si>
    <t>007°15'17.1"E</t>
  </si>
  <si>
    <t>48°33'03.4"N</t>
  </si>
  <si>
    <t>La Porte de Pierre n'est pas le nom d'un col mais celui d'une curiosité géologique.(relief ruiniforme dans le grès vosgien)</t>
  </si>
  <si>
    <t>FR-68-0343</t>
  </si>
  <si>
    <t>Valdieu</t>
  </si>
  <si>
    <t>Seuil de Valdieu</t>
  </si>
  <si>
    <t>3621E</t>
  </si>
  <si>
    <t>165-124</t>
  </si>
  <si>
    <t>350-5275-40-22</t>
  </si>
  <si>
    <t>315-G11-028-098</t>
  </si>
  <si>
    <t>D419/CV</t>
  </si>
  <si>
    <t>007°03'23.7"E</t>
  </si>
  <si>
    <t>47°37'53.7"N</t>
  </si>
  <si>
    <t>Seuil est un terme utilisé dans le domaine de l'hydraulique. Il s'agit d'une large dépression formant une ligne de partage des eaux entre deux grands massifs montagneux (ici Vosges et Jura) Il ne s'agit pas d'un col.</t>
  </si>
  <si>
    <t>FR-68-0353</t>
  </si>
  <si>
    <t>Col du ~
Col du ~</t>
  </si>
  <si>
    <t>Niehland
Neuland</t>
  </si>
  <si>
    <t>Col du Niehland
Col du Neuland</t>
  </si>
  <si>
    <t>3719O</t>
  </si>
  <si>
    <t>055-098</t>
  </si>
  <si>
    <t>370-5310-09-42</t>
  </si>
  <si>
    <t>315-H09-052-100</t>
  </si>
  <si>
    <t>007°16'14.1"E</t>
  </si>
  <si>
    <t>Topographie tout à fait correcte, mais les sources ne sont pas reconnues</t>
  </si>
  <si>
    <t>FR-68-0496</t>
  </si>
  <si>
    <t>Hinter dem Berg</t>
  </si>
  <si>
    <t>3722O</t>
  </si>
  <si>
    <t>128-(029)</t>
  </si>
  <si>
    <t>375-5260-20-13</t>
  </si>
  <si>
    <t>007°22'01.7"E</t>
  </si>
  <si>
    <t>Hinter der Berg désigne tout un secteur et non le col topographique</t>
  </si>
  <si>
    <t>FR-68-1280a</t>
  </si>
  <si>
    <t>Le Breitfirst</t>
  </si>
  <si>
    <t>3619E</t>
  </si>
  <si>
    <t>142-074</t>
  </si>
  <si>
    <t>350-5310-27-22</t>
  </si>
  <si>
    <t>315-G09-013-084</t>
  </si>
  <si>
    <t>007°01'36.5"E</t>
  </si>
  <si>
    <t>47°56'47.3"N</t>
  </si>
  <si>
    <t>FR-69-0552</t>
  </si>
  <si>
    <t>Il s'agit d'une hauteur à 1153m et non d'un col. "Le Col de..." (avec l'article Le) désigne dans la plupart des cas. un sommet dans les départements du sud de la France. il s'agit d'une déformation de "colle" (vient du latin "collis" qui signifie colline)</t>
  </si>
  <si>
    <t>FR-26-1260a</t>
  </si>
  <si>
    <t>128-192</t>
  </si>
  <si>
    <t>670-4940-44-45</t>
  </si>
  <si>
    <t>005°11'54.0"E</t>
  </si>
  <si>
    <t>44°37'58.0"N</t>
  </si>
  <si>
    <t>Pas de caractère topographique, désigne un passage étroit dans la falaise</t>
  </si>
  <si>
    <t>FR-26-1285</t>
  </si>
  <si>
    <t>Perty</t>
  </si>
  <si>
    <t>Col de Perty</t>
  </si>
  <si>
    <t>121-006</t>
  </si>
  <si>
    <t>700-4905-34-17</t>
  </si>
  <si>
    <t>332-G08-026-088</t>
  </si>
  <si>
    <t>D65/R</t>
  </si>
  <si>
    <t>005°32'56.0"E</t>
  </si>
  <si>
    <t>44°17'07.2"N</t>
  </si>
  <si>
    <t>Un panneautage peut laisser penser qu'il existe deux cols de Perty. Un seul col porte ce nom sur tous les documents disponibles.</t>
  </si>
  <si>
    <t>FR-26-1290</t>
  </si>
  <si>
    <t>Framboises</t>
  </si>
  <si>
    <t>Col des Framboises</t>
  </si>
  <si>
    <t>144-097</t>
  </si>
  <si>
    <t>675-4975-02-01</t>
  </si>
  <si>
    <t>005°13'08.4"E</t>
  </si>
  <si>
    <t>44°54'26.6"N</t>
  </si>
  <si>
    <t>Bien que panneauté. ce col ne dispose pas des caractères topographiques suffisants.</t>
  </si>
  <si>
    <t>FR-26-1325a</t>
  </si>
  <si>
    <t>Pas d'~ 
Pas ~</t>
  </si>
  <si>
    <t>Le Saule d'Oingt</t>
  </si>
  <si>
    <t>2930E</t>
  </si>
  <si>
    <t>206-087</t>
  </si>
  <si>
    <t>620-5090-27-28</t>
  </si>
  <si>
    <t>327-G04-043-107</t>
  </si>
  <si>
    <t>D31/D116/D120</t>
  </si>
  <si>
    <t>004°35'00.1"E</t>
  </si>
  <si>
    <t>45°58'41.3"N</t>
  </si>
  <si>
    <t>Col topographique mais simple lieu-dit non nommé comme col sur carte ou panneau (ou autre document "officiel")</t>
  </si>
  <si>
    <t>FR-69-0578</t>
  </si>
  <si>
    <t>Col de la ~
Col du ~</t>
  </si>
  <si>
    <t>Loive
Thivard</t>
  </si>
  <si>
    <t>Col de la Loive
Col du Thivard</t>
  </si>
  <si>
    <t>2830E</t>
  </si>
  <si>
    <t>275-061</t>
  </si>
  <si>
    <t>600-5085-18-49</t>
  </si>
  <si>
    <t>327-E04-076-090</t>
  </si>
  <si>
    <t>D10/CV</t>
  </si>
  <si>
    <t>004°18'47.4"E</t>
  </si>
  <si>
    <t>45°57'17.4"N</t>
  </si>
  <si>
    <t>FR-69-0602c</t>
  </si>
  <si>
    <t>Nuizières</t>
  </si>
  <si>
    <t>Col de Nuizières</t>
  </si>
  <si>
    <t>2930O</t>
  </si>
  <si>
    <t>110-134</t>
  </si>
  <si>
    <t>610-5095-29-24</t>
  </si>
  <si>
    <t>Col du Pot de la Croix n'apparaït avec cet intitulé que sur un topoguide. Ce type de document n'est pas jugé valide par le Club. La carte et le panneau sur place n'indiquent pas "col".</t>
  </si>
  <si>
    <t>FR-26-1660a</t>
  </si>
  <si>
    <t>Infernet</t>
  </si>
  <si>
    <t>Pas de l'Infernet</t>
  </si>
  <si>
    <t>211-093</t>
  </si>
  <si>
    <t>680-4970-19-48</t>
  </si>
  <si>
    <t>S1-2. GR93</t>
  </si>
  <si>
    <t>005°18'15.6"E</t>
  </si>
  <si>
    <t>44°54'13.6"N</t>
  </si>
  <si>
    <t>Topo(03-16)</t>
  </si>
  <si>
    <t>Doublon avec le FR-26-1640.</t>
  </si>
  <si>
    <t>FR-26-1660b</t>
  </si>
  <si>
    <t>Sambardou</t>
  </si>
  <si>
    <t>Pas de Sambardou</t>
  </si>
  <si>
    <t>067-127</t>
  </si>
  <si>
    <t>695-4955-14-37</t>
  </si>
  <si>
    <t>005°28'51.4"E</t>
  </si>
  <si>
    <t>44°45'15.6"N</t>
  </si>
  <si>
    <t>Passage d'un corniche à mi-versant. Pas de caractères topographiques d'un col.</t>
  </si>
  <si>
    <t>FR-26-1778</t>
  </si>
  <si>
    <t>Pastel</t>
  </si>
  <si>
    <t>Pas du Pastel</t>
  </si>
  <si>
    <t>112-139</t>
  </si>
  <si>
    <t>700-4955-09-50</t>
  </si>
  <si>
    <t>005°32'18.0"E</t>
  </si>
  <si>
    <t>44°45'53.8"N</t>
  </si>
  <si>
    <t>FR-26-1803</t>
  </si>
  <si>
    <t>Parjis Clos</t>
  </si>
  <si>
    <t>Pas des Parjis Clos</t>
  </si>
  <si>
    <t>3337O</t>
  </si>
  <si>
    <t>020-040</t>
  </si>
  <si>
    <t>720-4950-05-07</t>
  </si>
  <si>
    <t>005°46'54.9"E</t>
  </si>
  <si>
    <t>44°40'33.9"N</t>
  </si>
  <si>
    <t>Ce pas correspond à une combe et non à un col.</t>
  </si>
  <si>
    <t>FR-27-0209</t>
  </si>
  <si>
    <t>Roti</t>
  </si>
  <si>
    <t>Col Roti</t>
  </si>
  <si>
    <t>1814O</t>
  </si>
  <si>
    <t>119-159</t>
  </si>
  <si>
    <t>315-5420-33-18</t>
  </si>
  <si>
    <t>000°31'08.0"E</t>
  </si>
  <si>
    <t>48°55'21.9"N</t>
  </si>
  <si>
    <t>FR-2A-0032</t>
  </si>
  <si>
    <t>Bassa ~</t>
  </si>
  <si>
    <t>Turri</t>
  </si>
  <si>
    <t>Bassa Turri</t>
  </si>
  <si>
    <t>4154O</t>
  </si>
  <si>
    <t>142-064</t>
  </si>
  <si>
    <t>480-4605-40-45</t>
  </si>
  <si>
    <t>345-B10-078-102</t>
  </si>
  <si>
    <t>008°48'27.7"E</t>
  </si>
  <si>
    <t>41°38'14.2"N</t>
  </si>
  <si>
    <t>Col nommé sur un document non reconnu par le CCC</t>
  </si>
  <si>
    <t>FR-2A-0039</t>
  </si>
  <si>
    <t>Bocca di ~</t>
  </si>
  <si>
    <t>Tramulimaccia</t>
  </si>
  <si>
    <t>Bocca di Tramulimaccia</t>
  </si>
  <si>
    <t>4254E</t>
  </si>
  <si>
    <t>256-075</t>
  </si>
  <si>
    <t>525-4610-04-07</t>
  </si>
  <si>
    <t>009°18'15.9"E</t>
  </si>
  <si>
    <t>41°38'51.3"N</t>
  </si>
  <si>
    <t>Franchi par un ruisseau donc pas de ligne de partage des eaux et donc pas de col.</t>
  </si>
  <si>
    <t>FR-2A-0045</t>
  </si>
  <si>
    <t>Parmentile</t>
  </si>
  <si>
    <t>Col de Parmentile</t>
  </si>
  <si>
    <t>4255E</t>
  </si>
  <si>
    <t>159-031</t>
  </si>
  <si>
    <t>515-4585-07-13</t>
  </si>
  <si>
    <t>345-E11-012-070</t>
  </si>
  <si>
    <t>N198</t>
  </si>
  <si>
    <t>009°11'14.5"E</t>
  </si>
  <si>
    <t>41°25'40.9"N</t>
  </si>
  <si>
    <t>FR-2A-0508</t>
  </si>
  <si>
    <t>Alzo</t>
  </si>
  <si>
    <t>Col d'Alzo</t>
  </si>
  <si>
    <t>4254O</t>
  </si>
  <si>
    <t>002-039</t>
  </si>
  <si>
    <t>495-4605-49-21</t>
  </si>
  <si>
    <t>345-C10-092-085</t>
  </si>
  <si>
    <t>D65</t>
  </si>
  <si>
    <t>008°59'57.3"E</t>
  </si>
  <si>
    <t>41°36'54.6"N</t>
  </si>
  <si>
    <t>Pas de caractères topographiques.</t>
  </si>
  <si>
    <t>FR-2A-0525b</t>
  </si>
  <si>
    <t>Culetta</t>
  </si>
  <si>
    <t>090-085</t>
  </si>
  <si>
    <t>505-4610-37-17</t>
  </si>
  <si>
    <t>345-D10-058-116</t>
  </si>
  <si>
    <t>D248</t>
  </si>
  <si>
    <t>009°06'17.1"E</t>
  </si>
  <si>
    <t>41°39'24.9"N</t>
  </si>
  <si>
    <t>En corse. le toponyme Culetta désigne une colline</t>
  </si>
  <si>
    <t>FR-2A-0725</t>
  </si>
  <si>
    <t>Colletta di ~</t>
  </si>
  <si>
    <t>Mucchialba</t>
  </si>
  <si>
    <t>Colletta di Mucchialba</t>
  </si>
  <si>
    <t>4252O</t>
  </si>
  <si>
    <t>001-009</t>
  </si>
  <si>
    <t>495-4640-48-41</t>
  </si>
  <si>
    <t>20</t>
  </si>
  <si>
    <t>008°59'51.7"E</t>
  </si>
  <si>
    <t>41°56'55.0"N</t>
  </si>
  <si>
    <t>Correspondrait plutôt à la crête qu'à un col.</t>
  </si>
  <si>
    <t>FR-2A-0745</t>
  </si>
  <si>
    <t>Bocca al ~</t>
  </si>
  <si>
    <t>Zuccaro</t>
  </si>
  <si>
    <t>Bocca al Zuccaro</t>
  </si>
  <si>
    <t>070-169</t>
  </si>
  <si>
    <t>505-4655-17-50</t>
  </si>
  <si>
    <t>009°04'52.8"E</t>
  </si>
  <si>
    <t>42°05'31.0"N</t>
  </si>
  <si>
    <t>2001 - N°29</t>
  </si>
  <si>
    <t>Le réticule bleu correspond au positionnement selon la Bdnyme de l'IGN. C'est le nom qui est pointé et non un lieu. Cela signifie que Bocca al Zuccaro correspond à tout un secteur. Ce n'est donc pas un col.</t>
  </si>
  <si>
    <t>FR-2A-0795a</t>
  </si>
  <si>
    <t>Foce</t>
  </si>
  <si>
    <t>4253O</t>
  </si>
  <si>
    <t>068-005</t>
  </si>
  <si>
    <t>505-4620-15-37</t>
  </si>
  <si>
    <t>009°04'41.1"E</t>
  </si>
  <si>
    <t>41°45'53.8"N</t>
  </si>
  <si>
    <t>Foce désigne ici un lieu-dit ou une colline</t>
  </si>
  <si>
    <t>FR-2A-0805c</t>
  </si>
  <si>
    <t>Bocca d'~</t>
  </si>
  <si>
    <t>Ova</t>
  </si>
  <si>
    <t>Bocca d'Ova</t>
  </si>
  <si>
    <t>128-057</t>
  </si>
  <si>
    <t>510-4605-25-39</t>
  </si>
  <si>
    <t>009°08'59.0"E</t>
  </si>
  <si>
    <t>41°37'52.9"N</t>
  </si>
  <si>
    <t>Alias du FR-2A-0809a Col de Bacinu.</t>
  </si>
  <si>
    <t>FR-2A-0935b</t>
  </si>
  <si>
    <t>Cappicciolo</t>
  </si>
  <si>
    <t>Col de Cappicciolo</t>
  </si>
  <si>
    <t>4151O</t>
  </si>
  <si>
    <t>101-133</t>
  </si>
  <si>
    <t>480-4675-02-14</t>
  </si>
  <si>
    <t>008°45'35.3"E</t>
  </si>
  <si>
    <t>42°14'22.6"N</t>
  </si>
  <si>
    <t>Alias de FR-2A-0896b Bocca a Pertusella</t>
  </si>
  <si>
    <t>FR-2A-1005a</t>
  </si>
  <si>
    <t>Foce d'~
Bouche d'~</t>
  </si>
  <si>
    <t>Anzia
Anzia</t>
  </si>
  <si>
    <t>Foce d'Anzia
Bouche d'Anzia</t>
  </si>
  <si>
    <t>158-117</t>
  </si>
  <si>
    <t>515-4610-05-48</t>
  </si>
  <si>
    <t>009°11'09.7"E</t>
  </si>
  <si>
    <t>41°41'06.8"N</t>
  </si>
  <si>
    <t>N'est qu'un alias de la bocca di Barocaggio pour la pluspart des cadastres.</t>
  </si>
  <si>
    <t>FR-2A-1135</t>
  </si>
  <si>
    <t>Collo del ~
Collu à u ~</t>
  </si>
  <si>
    <t>Frate
Frati</t>
  </si>
  <si>
    <t>Collo del Frate
Collu à u Frati</t>
  </si>
  <si>
    <t>110-017</t>
  </si>
  <si>
    <t>510-4640-07-48</t>
  </si>
  <si>
    <t>009°07'45.0"E</t>
  </si>
  <si>
    <t>41°57'19.7"N</t>
  </si>
  <si>
    <t>C'est un sommet.</t>
  </si>
  <si>
    <t>FR-2A-1227</t>
  </si>
  <si>
    <t>Collo</t>
  </si>
  <si>
    <t>055-136</t>
  </si>
  <si>
    <t>505-4655-02-17</t>
  </si>
  <si>
    <t>009°03'47.9"E</t>
  </si>
  <si>
    <t>42°03'43.9"N</t>
  </si>
  <si>
    <t>Trop d'incertitudes quant à la localisation d'un col éventuel.</t>
  </si>
  <si>
    <t>FR-2A-1305a</t>
  </si>
  <si>
    <t>Foce di ~</t>
  </si>
  <si>
    <t>Perimozzi</t>
  </si>
  <si>
    <t>Foce di Perimozzi</t>
  </si>
  <si>
    <t>059-185</t>
  </si>
  <si>
    <t>505-4640-06-16</t>
  </si>
  <si>
    <t>009°04'02.8"E</t>
  </si>
  <si>
    <t>41°55'34.5"N</t>
  </si>
  <si>
    <t>Nomme le sommet à 1319 m.</t>
  </si>
  <si>
    <t>FR-2A-2092</t>
  </si>
  <si>
    <t>Capitello</t>
  </si>
  <si>
    <t>Brèche de Capitello</t>
  </si>
  <si>
    <t>4251O</t>
  </si>
  <si>
    <t>012-098</t>
  </si>
  <si>
    <t>500-4670-10-29</t>
  </si>
  <si>
    <t>S, GR20</t>
  </si>
  <si>
    <t>FR-2B</t>
  </si>
  <si>
    <t>009°00'42.7"E</t>
  </si>
  <si>
    <t>Toutes les informations trouvées sur le GR20 montre que l'IGN a mal placé cette brèche.</t>
  </si>
  <si>
    <t>FR-2B-0100</t>
  </si>
  <si>
    <t>Bocca ~</t>
  </si>
  <si>
    <t>Bona</t>
  </si>
  <si>
    <t>Bocca Bona</t>
  </si>
  <si>
    <t>4248E</t>
  </si>
  <si>
    <t>283-130</t>
  </si>
  <si>
    <t>525-4735-31-11</t>
  </si>
  <si>
    <t>345-F03-005-082</t>
  </si>
  <si>
    <t>D80</t>
  </si>
  <si>
    <t>009°20'35.5"E</t>
  </si>
  <si>
    <t>La BD de l'IGN pointe sur une habitation à flanc de colline</t>
  </si>
  <si>
    <t>FR-2B-0275a</t>
  </si>
  <si>
    <t>Pruniccia</t>
  </si>
  <si>
    <t>Bocca Pruniccia</t>
  </si>
  <si>
    <t>4249O</t>
  </si>
  <si>
    <t>048-149</t>
  </si>
  <si>
    <t>500-4715-46-30</t>
  </si>
  <si>
    <t>009°03'20.8"E</t>
  </si>
  <si>
    <t>42°36'51.3"N</t>
  </si>
  <si>
    <t>Localisation trop incertaine</t>
  </si>
  <si>
    <t>FR-2B-0396</t>
  </si>
  <si>
    <t>Pastoreccia</t>
  </si>
  <si>
    <t>Bocca Pastoreccia</t>
  </si>
  <si>
    <t>4250E</t>
  </si>
  <si>
    <t>154-185</t>
  </si>
  <si>
    <t>515-4700-01-16</t>
  </si>
  <si>
    <t>009°11'03.0"E</t>
  </si>
  <si>
    <t>42°27'58.6"N</t>
  </si>
  <si>
    <t>Erreur de positionnement sur la carte IGN. Voir localisation de ce col en FR-2B-0365a</t>
  </si>
  <si>
    <t>FR-2B-0475</t>
  </si>
  <si>
    <t>Collettola de ~</t>
  </si>
  <si>
    <t>Calvelle-Sottano</t>
  </si>
  <si>
    <t>Collettola de Calvelle-Sottano</t>
  </si>
  <si>
    <t>110-078</t>
  </si>
  <si>
    <t>510-4710-08-08</t>
  </si>
  <si>
    <t>009°07'51.5"E</t>
  </si>
  <si>
    <t>42°32'59.9"N</t>
  </si>
  <si>
    <t>Le caractère topographique a été jugé insuffisant. L'intitulé désigne souvent une colline ou une hauteur.</t>
  </si>
  <si>
    <t>FR-2B-0550b</t>
  </si>
  <si>
    <t>Ceppa</t>
  </si>
  <si>
    <t>Col Ceppa</t>
  </si>
  <si>
    <t>4350O</t>
  </si>
  <si>
    <t>092-118</t>
  </si>
  <si>
    <t>535-4695-37-00</t>
  </si>
  <si>
    <t>009°28'15.2"E</t>
  </si>
  <si>
    <t>42°24'23.6"N</t>
  </si>
  <si>
    <t>Ne désigne pas un col mais une hauteur</t>
  </si>
  <si>
    <t>FR-2B-0560</t>
  </si>
  <si>
    <t>Trefontane</t>
  </si>
  <si>
    <t>Bouche de Trefontane</t>
  </si>
  <si>
    <t>103-069</t>
  </si>
  <si>
    <t>535-4690-47-01</t>
  </si>
  <si>
    <t>009°28'53.7"E</t>
  </si>
  <si>
    <t>42°21'42.4"N</t>
  </si>
  <si>
    <t>Caractères topographiques insuffisants</t>
  </si>
  <si>
    <t>FR-2B-0865b</t>
  </si>
  <si>
    <t>Bocca di u ~</t>
  </si>
  <si>
    <t>Valdu</t>
  </si>
  <si>
    <t>Bocca di u Valdu</t>
  </si>
  <si>
    <t>4351O</t>
  </si>
  <si>
    <t>072-154</t>
  </si>
  <si>
    <t>535-4675-16-36</t>
  </si>
  <si>
    <t>009°26'37.5"E</t>
  </si>
  <si>
    <t>42°15'30.5"N</t>
  </si>
  <si>
    <t>Un dépliant touristique n'est pas une source reconnue.</t>
  </si>
  <si>
    <t>FR-2B-1095a</t>
  </si>
  <si>
    <t>Bocca a l'~</t>
  </si>
  <si>
    <t>Accia</t>
  </si>
  <si>
    <t>Bocca a l'Accia</t>
  </si>
  <si>
    <t>4150O</t>
  </si>
  <si>
    <t>135-161</t>
  </si>
  <si>
    <t>480-4695-36-42</t>
  </si>
  <si>
    <t>008°48'03.7"E</t>
  </si>
  <si>
    <t>42°26'41.8"N</t>
  </si>
  <si>
    <t>IGN ne nomme pas le col sur la crête</t>
  </si>
  <si>
    <t>FR-30-0050</t>
  </si>
  <si>
    <t>Ratade</t>
  </si>
  <si>
    <t>Col de la Ratade</t>
  </si>
  <si>
    <t>2941E</t>
  </si>
  <si>
    <t>172-040</t>
  </si>
  <si>
    <t>620-4865-29-32</t>
  </si>
  <si>
    <t>339-M05-017-091</t>
  </si>
  <si>
    <t>D981-GR</t>
  </si>
  <si>
    <t>004°31'55.0"E</t>
  </si>
  <si>
    <t>43°57'22.6"N</t>
  </si>
  <si>
    <t>Source non reconnue par le CCC</t>
  </si>
  <si>
    <t>FR-30-0068</t>
  </si>
  <si>
    <t>2842O</t>
  </si>
  <si>
    <t>074-120</t>
  </si>
  <si>
    <t>580-4855-43-05</t>
  </si>
  <si>
    <t>339-J05-026-011</t>
  </si>
  <si>
    <t>D178/D</t>
  </si>
  <si>
    <t>004°02'54.5"E</t>
  </si>
  <si>
    <t>43°50'53.4"N</t>
  </si>
  <si>
    <t>Les caractéristiques topographiques d'un col ne sont pas présentes.</t>
  </si>
  <si>
    <t>FR-30-0072</t>
  </si>
  <si>
    <t>Dève</t>
  </si>
  <si>
    <t>Col de Dève</t>
  </si>
  <si>
    <t>3042O</t>
  </si>
  <si>
    <t>024-196</t>
  </si>
  <si>
    <t>635-4860-20-40</t>
  </si>
  <si>
    <t>339-N05-021-061</t>
  </si>
  <si>
    <t>D126</t>
  </si>
  <si>
    <t>004°42'24.2"E</t>
  </si>
  <si>
    <t>43°54'57.6"N</t>
  </si>
  <si>
    <t>La topographie est correcte. mais le panneau rudimentaire fait planer un gros doute.</t>
  </si>
  <si>
    <t>FR-30-0160a</t>
  </si>
  <si>
    <t>Lancyre</t>
  </si>
  <si>
    <t>Col de Lancyre</t>
  </si>
  <si>
    <t>092-190</t>
  </si>
  <si>
    <t>585-4860-10-26</t>
  </si>
  <si>
    <t>004°04'17.7"E</t>
  </si>
  <si>
    <t>43°54'41.1"N</t>
  </si>
  <si>
    <t>Il n'existe qu'un seul col de Lancyre. Voir celui qui est reconnu par le Club: FR-30-0165a</t>
  </si>
  <si>
    <t>FR-30-0185</t>
  </si>
  <si>
    <t>Montagnac</t>
  </si>
  <si>
    <t>Col de Montagnac</t>
  </si>
  <si>
    <t>2841E</t>
  </si>
  <si>
    <t>153-018</t>
  </si>
  <si>
    <t>590-4865-21-04</t>
  </si>
  <si>
    <t>339-J05-079-076</t>
  </si>
  <si>
    <t>D907/CV</t>
  </si>
  <si>
    <t>004°08'53.0"E</t>
  </si>
  <si>
    <t>43°56'09.6"N</t>
  </si>
  <si>
    <t>FR-30-0228</t>
  </si>
  <si>
    <t>~ Col</t>
  </si>
  <si>
    <t>Beau</t>
  </si>
  <si>
    <t>Beau Col</t>
  </si>
  <si>
    <t>2741O</t>
  </si>
  <si>
    <t>130-029</t>
  </si>
  <si>
    <t>560-4865-09-12</t>
  </si>
  <si>
    <t>339-H05-050-084</t>
  </si>
  <si>
    <t>D999</t>
  </si>
  <si>
    <t>003°45'33.6"E</t>
  </si>
  <si>
    <t>43°56'47.5"N</t>
  </si>
  <si>
    <t>La carte Nolin est très peu précise pour localiser ce col. les autres documents font référence au toponyme Beaucels.</t>
  </si>
  <si>
    <t>FR-30-0460a</t>
  </si>
  <si>
    <t>Cauvel</t>
  </si>
  <si>
    <t>Col du Cauvel</t>
  </si>
  <si>
    <t>2840O</t>
  </si>
  <si>
    <t>106-126</t>
  </si>
  <si>
    <t>585-4895-21-12</t>
  </si>
  <si>
    <t>339-J03-048-035</t>
  </si>
  <si>
    <t>D906</t>
  </si>
  <si>
    <t>004°05'24.1"E</t>
  </si>
  <si>
    <t>44°12'49.1"N</t>
  </si>
  <si>
    <t>19/05/1013</t>
  </si>
  <si>
    <t>Une coupure de presse n'est pas un document reconnu comme fiable par le Club. Il s'agit. néanmoins d'un premier indice en attendant une confirmation par une source plus classique.</t>
  </si>
  <si>
    <t>FR-30-0480</t>
  </si>
  <si>
    <t>Colboeuf</t>
  </si>
  <si>
    <t>Colbeuf</t>
  </si>
  <si>
    <t>029-007</t>
  </si>
  <si>
    <t>575-4900-43-41</t>
  </si>
  <si>
    <t>339-I03-085-089</t>
  </si>
  <si>
    <t>003°59'36.3"E</t>
  </si>
  <si>
    <t>44°17'10.4"N</t>
  </si>
  <si>
    <t>FR-30-0495</t>
  </si>
  <si>
    <t>Le Colet de l'~</t>
  </si>
  <si>
    <t>Aves</t>
  </si>
  <si>
    <t>Le Colet de l'Aves</t>
  </si>
  <si>
    <t>024-088</t>
  </si>
  <si>
    <t>575-4910-36-23</t>
  </si>
  <si>
    <t>003°59'11.5"E</t>
  </si>
  <si>
    <t>44°21'33.4"N</t>
  </si>
  <si>
    <t>La localisation est imprécise. Le toponyme "Colet" ajoute à l'imprécision car il peut s'appliquer à d'autres formes de relief qu'un col.</t>
  </si>
  <si>
    <t>FR-30-0654</t>
  </si>
  <si>
    <t>Basse</t>
  </si>
  <si>
    <t>Col de Basse</t>
  </si>
  <si>
    <t>122-(068)</t>
  </si>
  <si>
    <t>555-4875-50-14</t>
  </si>
  <si>
    <t>339-H04-044-029</t>
  </si>
  <si>
    <t>003°44'55.0"E</t>
  </si>
  <si>
    <t>44°02'19.5"N</t>
  </si>
  <si>
    <t>Le lieu-dit est mal orthographié sur les cartes IGN. La BDnyme de l'IGN indique "croix de Bassel" (avec un "l" final qui a été effacé à l'impression. de même qu'un figuré de sentier au même endroit ). La personne à l'origine de l'appellation "col de Basse" s'est donc contentée d'utiliser le nom incomplet de la carte pour baptiser un col topographique. sans autre vérification locale. Il s'agit donc d'un col créé de toute pièce à partir d'un document erroné.</t>
  </si>
  <si>
    <t>FR-30-0724</t>
  </si>
  <si>
    <t>Midigou</t>
  </si>
  <si>
    <t>Col de Midigou</t>
  </si>
  <si>
    <t>2642E</t>
  </si>
  <si>
    <t>160-166</t>
  </si>
  <si>
    <t>535-4855-00-47</t>
  </si>
  <si>
    <t>FR-34</t>
  </si>
  <si>
    <t>003°26'09.2"E</t>
  </si>
  <si>
    <t>43°53'21.7"N</t>
  </si>
  <si>
    <t>Les sources nommant ce col ne sont pas reconnues par le CCC</t>
  </si>
  <si>
    <t>FR-30-0920</t>
  </si>
  <si>
    <t>098-187</t>
  </si>
  <si>
    <t>555-4880-26-19</t>
  </si>
  <si>
    <t>003°43'10.7"E</t>
  </si>
  <si>
    <t>44°05'17.4"N</t>
  </si>
  <si>
    <t>Le Coulet correspond au passage d'une importante "draille" sur le versant nord de la montagne. Il ne s'agit pas d'un col.</t>
  </si>
  <si>
    <t>FR-30-1011</t>
  </si>
  <si>
    <t>Le Bout de Côte</t>
  </si>
  <si>
    <t>2640E</t>
  </si>
  <si>
    <t>149-057</t>
  </si>
  <si>
    <t>530-4885-39-38</t>
  </si>
  <si>
    <t>339-F04-048-113</t>
  </si>
  <si>
    <t>D986/D47</t>
  </si>
  <si>
    <t>FR-48</t>
  </si>
  <si>
    <t>003°25'25.5"E</t>
  </si>
  <si>
    <t>44°09'06.3"N</t>
  </si>
  <si>
    <t>Toponymie insuffisante (Le Bout de Côte sur carte IGN et panneau). Le toponyme "col du Bout de cöte" n'apparaît que sur un ancien "Guide Bleu". une source jugée insuffisante.</t>
  </si>
  <si>
    <t>FR-31-0210</t>
  </si>
  <si>
    <t>Seuil de ~</t>
  </si>
  <si>
    <t>Graissens</t>
  </si>
  <si>
    <t>Seuil de Graissens</t>
  </si>
  <si>
    <t>2244O</t>
  </si>
  <si>
    <t>090-051</t>
  </si>
  <si>
    <t>410-4805-16-37</t>
  </si>
  <si>
    <t>001°54'26.3"E</t>
  </si>
  <si>
    <t>43°25'34.4"N</t>
  </si>
  <si>
    <t>Dans ce cas "seuil" est un terme d'hydraulique et non un terme géographique</t>
  </si>
  <si>
    <t>FR-31-0250</t>
  </si>
  <si>
    <t>al Pas Del~</t>
  </si>
  <si>
    <t>al Pas del Merle</t>
  </si>
  <si>
    <t>2144E</t>
  </si>
  <si>
    <t>181-(084)</t>
  </si>
  <si>
    <t>390-4815-17-05</t>
  </si>
  <si>
    <t>343-H04-086-112</t>
  </si>
  <si>
    <t>D2/D38</t>
  </si>
  <si>
    <t>001°39'36.6"E</t>
  </si>
  <si>
    <t>43°29'03.5"N</t>
  </si>
  <si>
    <t>Désigne un lieu-dit</t>
  </si>
  <si>
    <t>FR-31-0323</t>
  </si>
  <si>
    <t>Luxel</t>
  </si>
  <si>
    <t>Pas de Luxel</t>
  </si>
  <si>
    <t>288-162</t>
  </si>
  <si>
    <t>400-4815-25-49</t>
  </si>
  <si>
    <t>343-I03-068-019</t>
  </si>
  <si>
    <t>D1</t>
  </si>
  <si>
    <t>001°47'36.3"E</t>
  </si>
  <si>
    <t>43°31'31.3"N</t>
  </si>
  <si>
    <t>Ce pas nomme les habitations. Les cadastres désignent une vaste zone</t>
  </si>
  <si>
    <t>FR-31-0543</t>
  </si>
  <si>
    <t>Pas du Loup</t>
  </si>
  <si>
    <t>(063)-186</t>
  </si>
  <si>
    <t>335-4760-19-36</t>
  </si>
  <si>
    <t>343-D06-090-005</t>
  </si>
  <si>
    <t>000°59'54.9"E</t>
  </si>
  <si>
    <t>43°00'25.9"N</t>
  </si>
  <si>
    <t>Nom d'une combe et localisation au fond de celle-ci</t>
  </si>
  <si>
    <t>FR-31-0617</t>
  </si>
  <si>
    <t>Couret</t>
  </si>
  <si>
    <t>009-144</t>
  </si>
  <si>
    <t>310-4755-47-49</t>
  </si>
  <si>
    <t>343-C07-033-101</t>
  </si>
  <si>
    <t>000°43'38.8"E</t>
  </si>
  <si>
    <t>42°58'10.6"N</t>
  </si>
  <si>
    <t>Couret ne désigne pas systématiquement un col. Ici ce sont les habitations qui sont nommées. Topogarphie non conforme.</t>
  </si>
  <si>
    <t>FR-31-0715</t>
  </si>
  <si>
    <t>Chermens</t>
  </si>
  <si>
    <t>Col des Chermens</t>
  </si>
  <si>
    <t>1847E</t>
  </si>
  <si>
    <t>282-199</t>
  </si>
  <si>
    <t>310-4765-29-05</t>
  </si>
  <si>
    <t>000°42'12.4"E</t>
  </si>
  <si>
    <t>43°01'08.1"N</t>
  </si>
  <si>
    <t>Confusion entre col et sommet</t>
  </si>
  <si>
    <t>FR-31-0741</t>
  </si>
  <si>
    <t>Col des ~
Col des ~</t>
  </si>
  <si>
    <t>Hours
Lours</t>
  </si>
  <si>
    <t>Col des Hours
Col des Lours</t>
  </si>
  <si>
    <t>1846E</t>
  </si>
  <si>
    <t>291-003</t>
  </si>
  <si>
    <t>310-4765-37-08</t>
  </si>
  <si>
    <t>000°42'50.6"E</t>
  </si>
  <si>
    <t>43°01'20.3"N</t>
  </si>
  <si>
    <t>Col et sommet sont confondus. Il s'agit sans doute d'une traduction de "cot" en "col". or ce terme peut signifier sommet.</t>
  </si>
  <si>
    <t>FR-31-0819</t>
  </si>
  <si>
    <t>Cot de ~</t>
  </si>
  <si>
    <t>Bellan</t>
  </si>
  <si>
    <t>Cot de Bellan</t>
  </si>
  <si>
    <t>270-168</t>
  </si>
  <si>
    <t>310-4760-15-24</t>
  </si>
  <si>
    <t>000°41'14.8"E</t>
  </si>
  <si>
    <t>42°59'27.7"N</t>
  </si>
  <si>
    <t>Cot ne désigne pas toujours un col. Ici c'est le sommet qui est nommé sur la carte IGN</t>
  </si>
  <si>
    <t>FR-31-0937</t>
  </si>
  <si>
    <t>Escalère de ~</t>
  </si>
  <si>
    <t>Coume Nere</t>
  </si>
  <si>
    <t>Escalère de Coume Nere</t>
  </si>
  <si>
    <t>155-178</t>
  </si>
  <si>
    <t>300-4760-01-38</t>
  </si>
  <si>
    <t>000°32'49.2"E</t>
  </si>
  <si>
    <t>43°00'00.6"N</t>
  </si>
  <si>
    <t>Renseignements recueillis sur place: le terme d'escalère désigne le chemin d'accès et non le col.</t>
  </si>
  <si>
    <t>FR-31-1024</t>
  </si>
  <si>
    <t>Bourgs</t>
  </si>
  <si>
    <t>Pas de Bourgs</t>
  </si>
  <si>
    <t>1848E</t>
  </si>
  <si>
    <t>232-171</t>
  </si>
  <si>
    <t>305-4740-21-28</t>
  </si>
  <si>
    <t>000°38'23.8"E</t>
  </si>
  <si>
    <t>42°48'48.7"N</t>
  </si>
  <si>
    <t>Ce Pas se situe exactement au fond du Ruisseau des Clots et ne correspond pas à la définition d'un col.</t>
  </si>
  <si>
    <t>FR-31-1120</t>
  </si>
  <si>
    <t>Peyre</t>
  </si>
  <si>
    <t>Pas de Peyre</t>
  </si>
  <si>
    <t>1848O</t>
  </si>
  <si>
    <t>127-(040)</t>
  </si>
  <si>
    <t>295-4740-16-21</t>
  </si>
  <si>
    <t>000°30'43.3"E</t>
  </si>
  <si>
    <t>42°48'14.8"N</t>
  </si>
  <si>
    <t>Ce Pas ne présenta pas les caractéristiques topographiques d'un col</t>
  </si>
  <si>
    <t>FR-31-1198</t>
  </si>
  <si>
    <t>Matech</t>
  </si>
  <si>
    <t>Le col de Matech</t>
  </si>
  <si>
    <t>(269)-123</t>
  </si>
  <si>
    <t>315-4755-12-28</t>
  </si>
  <si>
    <t>000°44'46.8"E</t>
  </si>
  <si>
    <t>42°57'03.8"N</t>
  </si>
  <si>
    <t>Désigne une crête</t>
  </si>
  <si>
    <t>FR-31-1231</t>
  </si>
  <si>
    <t>Escalère</t>
  </si>
  <si>
    <t>Pas de l'Escalère</t>
  </si>
  <si>
    <t>118-(043)</t>
  </si>
  <si>
    <t>295-4740-06-18</t>
  </si>
  <si>
    <t>343-B08-000-100</t>
  </si>
  <si>
    <t>D76b</t>
  </si>
  <si>
    <t>000°30'01.8"E</t>
  </si>
  <si>
    <t>42°48'05.4"N</t>
  </si>
  <si>
    <t>FR-31-1380</t>
  </si>
  <si>
    <t>Peyreuil</t>
  </si>
  <si>
    <t>Pas de Peyreuil</t>
  </si>
  <si>
    <t>(206)-055</t>
  </si>
  <si>
    <t>320-4750-23-08</t>
  </si>
  <si>
    <t>000°49'26.8"E</t>
  </si>
  <si>
    <t>42°53'22.2"N</t>
  </si>
  <si>
    <t>Il s'agit d'une combe et non d'un col.</t>
  </si>
  <si>
    <t>FR-33-0035</t>
  </si>
  <si>
    <t>Petit Mont</t>
  </si>
  <si>
    <t>Col du Petit Mont</t>
  </si>
  <si>
    <t>1334E</t>
  </si>
  <si>
    <t>241-049</t>
  </si>
  <si>
    <t>645-5005-13-46</t>
  </si>
  <si>
    <t>335-E03-016-043</t>
  </si>
  <si>
    <t>Piste cyclable</t>
  </si>
  <si>
    <t>001°08'09.6"W</t>
  </si>
  <si>
    <t>45°13'27.2"N</t>
  </si>
  <si>
    <t>Panneau fantaisiste posé pour faire une blague.</t>
  </si>
  <si>
    <t>FR-33-0045</t>
  </si>
  <si>
    <t>Château d'eau</t>
  </si>
  <si>
    <t>Col du Château d'eau</t>
  </si>
  <si>
    <t>232-047</t>
  </si>
  <si>
    <t>645-5005-04-43</t>
  </si>
  <si>
    <t>335-E03-010-041</t>
  </si>
  <si>
    <t>001°08'50.8"W</t>
  </si>
  <si>
    <t>45°13'18.5"N</t>
  </si>
  <si>
    <t>FR-34-0062</t>
  </si>
  <si>
    <t>Vidal de la Blache</t>
  </si>
  <si>
    <t>Col Vidal de la Blache</t>
  </si>
  <si>
    <t>2644O</t>
  </si>
  <si>
    <t>136-110</t>
  </si>
  <si>
    <t>530-4810-27-41</t>
  </si>
  <si>
    <t>339-F08-038-108</t>
  </si>
  <si>
    <t>003°24'17.3"E</t>
  </si>
  <si>
    <t>43°28'44.2"N</t>
  </si>
  <si>
    <t xml:space="preserve">Caractères topographiques peu marqués. </t>
  </si>
  <si>
    <t>FR-34-0081</t>
  </si>
  <si>
    <t>Vidal</t>
  </si>
  <si>
    <t>le Pas de Vidal</t>
  </si>
  <si>
    <t>2644E</t>
  </si>
  <si>
    <t>280-146</t>
  </si>
  <si>
    <t>545-4815-22-28</t>
  </si>
  <si>
    <t>339-G07-045-009</t>
  </si>
  <si>
    <t>D2</t>
  </si>
  <si>
    <t>003°35'01.5"E</t>
  </si>
  <si>
    <t>43°30'41.4"N</t>
  </si>
  <si>
    <t>Il ne s'agit pas d'un col mais d'un défilé où coule un ruisseau</t>
  </si>
  <si>
    <t>FR-34-0205</t>
  </si>
  <si>
    <t>Estrech</t>
  </si>
  <si>
    <t>Pas d'Estrech</t>
  </si>
  <si>
    <t>288-077</t>
  </si>
  <si>
    <t>545-4850-29-08</t>
  </si>
  <si>
    <t>003°35'42.8"E</t>
  </si>
  <si>
    <t>43°48'32.2"N</t>
  </si>
  <si>
    <t>Une localisation peu précise mais surtout une topographie peu convaincante</t>
  </si>
  <si>
    <t>FR-34-0444a</t>
  </si>
  <si>
    <t>Pancoulet</t>
  </si>
  <si>
    <t>Le Pancoulet</t>
  </si>
  <si>
    <t>2544O</t>
  </si>
  <si>
    <t>028-184</t>
  </si>
  <si>
    <t>490-4820-29-14</t>
  </si>
  <si>
    <t>002°54'41.8"E</t>
  </si>
  <si>
    <t>43°32'43.7"N</t>
  </si>
  <si>
    <t>Le toponyme est suspect et le col topo 444 se trouve hors de la parcelle cadastrale.</t>
  </si>
  <si>
    <t>FR-34-0552</t>
  </si>
  <si>
    <t>240-087</t>
  </si>
  <si>
    <t>540-4850-30-18</t>
  </si>
  <si>
    <t>339-G06-019-113</t>
  </si>
  <si>
    <t>003°32'07.2"E</t>
  </si>
  <si>
    <t>43°49'06.3"N</t>
  </si>
  <si>
    <t>Pas de caractère topographique.</t>
  </si>
  <si>
    <t>FR-34-0587</t>
  </si>
  <si>
    <t>Marthomis</t>
  </si>
  <si>
    <t>Col de Marthomis</t>
  </si>
  <si>
    <t>2444E</t>
  </si>
  <si>
    <t>166-138</t>
  </si>
  <si>
    <t>475-4815-25-18</t>
  </si>
  <si>
    <t>339-B07-030-003</t>
  </si>
  <si>
    <t>D169/R</t>
  </si>
  <si>
    <t>002°43'18.8"E</t>
  </si>
  <si>
    <t>43°30'14.2"N</t>
  </si>
  <si>
    <t>FR-34-0604</t>
  </si>
  <si>
    <t>Escargot</t>
  </si>
  <si>
    <t>Col de l'Escargot</t>
  </si>
  <si>
    <t>267-097</t>
  </si>
  <si>
    <t>485-4810-27-27</t>
  </si>
  <si>
    <t>339-C08-008-099</t>
  </si>
  <si>
    <t>D176</t>
  </si>
  <si>
    <t>002°50'50.6"E</t>
  </si>
  <si>
    <t>43°28'02.2"N</t>
  </si>
  <si>
    <t>Alias du col de Rodomouls</t>
  </si>
  <si>
    <t>FR-34-0616a</t>
  </si>
  <si>
    <t>Escalette</t>
  </si>
  <si>
    <t>Pas de l'Escalette</t>
  </si>
  <si>
    <t>2642O</t>
  </si>
  <si>
    <t>057-101</t>
  </si>
  <si>
    <t>520-4850-47-32</t>
  </si>
  <si>
    <t>339-E06-075-122</t>
  </si>
  <si>
    <t>CV (ex RN9)</t>
  </si>
  <si>
    <t>003°18'26.6"E</t>
  </si>
  <si>
    <t>43°49'52.2"N</t>
  </si>
  <si>
    <t>Ce n'est pas un col topo mais un défilé. L'eau s'y écoule.</t>
  </si>
  <si>
    <t>FR-34-0630</t>
  </si>
  <si>
    <t>Malpertus</t>
  </si>
  <si>
    <t>174-046</t>
  </si>
  <si>
    <t>475-4805-33-26</t>
  </si>
  <si>
    <t>002°43'54.5"E</t>
  </si>
  <si>
    <t>43°25'16.1"N</t>
  </si>
  <si>
    <t>Le toponyme ne semble pas désigner le Pc 630 où se situe un col géographique.</t>
  </si>
  <si>
    <t>FR-34-0635a</t>
  </si>
  <si>
    <t>Col la ~</t>
  </si>
  <si>
    <t>Rose</t>
  </si>
  <si>
    <t>Col la Rose</t>
  </si>
  <si>
    <t>2543E</t>
  </si>
  <si>
    <t>193-162</t>
  </si>
  <si>
    <t>505-4835-44-42</t>
  </si>
  <si>
    <t>003°06'59.2"E</t>
  </si>
  <si>
    <t>43°42'21.7"N</t>
  </si>
  <si>
    <t>Col la Rose est en réalité Mont col la Rose.</t>
  </si>
  <si>
    <t>FR-34-0715a</t>
  </si>
  <si>
    <t>Croix de Jubilé</t>
  </si>
  <si>
    <t>Col de la Croix de Jubilé</t>
  </si>
  <si>
    <t>164-072</t>
  </si>
  <si>
    <t>475-4810-24-03</t>
  </si>
  <si>
    <t>339-B08-029-083</t>
  </si>
  <si>
    <t>D147/R</t>
  </si>
  <si>
    <t>002°43'12.4"E</t>
  </si>
  <si>
    <t>43°26'42.6"N</t>
  </si>
  <si>
    <t>Un panneau de déneigement n'est ni un panneau sommital. ni un panneeau directionnel. Est nommé "col" un lieu-dit en direction duquel la route est dégagée (ex: Col du Revard. col du Mt Ventoux. col de la Matte. etc…)</t>
  </si>
  <si>
    <t>FR-34-0795</t>
  </si>
  <si>
    <t>Rescol</t>
  </si>
  <si>
    <t>2443E</t>
  </si>
  <si>
    <t>186-030</t>
  </si>
  <si>
    <t>475-4825-46-11</t>
  </si>
  <si>
    <t>339-B07-043-065</t>
  </si>
  <si>
    <t>D14e</t>
  </si>
  <si>
    <t>002°44'48.1"E</t>
  </si>
  <si>
    <t>43°35'13.9"N</t>
  </si>
  <si>
    <t>Ne désigne pas un col</t>
  </si>
  <si>
    <t>FR-34-0929</t>
  </si>
  <si>
    <t>Travers du ~</t>
  </si>
  <si>
    <t>Buraut</t>
  </si>
  <si>
    <t>Travers du Buraut</t>
  </si>
  <si>
    <t>217-182</t>
  </si>
  <si>
    <t>480-4820-27-13</t>
  </si>
  <si>
    <t>002°47'07.7"E</t>
  </si>
  <si>
    <t>43°32'38.7"N</t>
  </si>
  <si>
    <t>L'intitulé Travers n'est pas reconnu par le CCC</t>
  </si>
  <si>
    <t>FR-35-0056</t>
  </si>
  <si>
    <t>Le Pertuis aux ~</t>
  </si>
  <si>
    <t>Chevreuils</t>
  </si>
  <si>
    <t>Le Pertuis aux Chevreuils</t>
  </si>
  <si>
    <t>1116E</t>
  </si>
  <si>
    <t>226-073</t>
  </si>
  <si>
    <t>580-5370-44-09</t>
  </si>
  <si>
    <t>309-K04-070-113</t>
  </si>
  <si>
    <t>001°51'25.8"W</t>
  </si>
  <si>
    <t>48°29'09.4"N</t>
  </si>
  <si>
    <t>Topographie inexistante et pertuis ne signifie pas toujours col… surtout en Bretagne.</t>
  </si>
  <si>
    <t>FR-35-0112</t>
  </si>
  <si>
    <t>le Pas du ~</t>
  </si>
  <si>
    <t>Chat</t>
  </si>
  <si>
    <t>le Pas du Chat</t>
  </si>
  <si>
    <t>1318O</t>
  </si>
  <si>
    <t>051-194</t>
  </si>
  <si>
    <t>620-5340-06-37</t>
  </si>
  <si>
    <t>001°22'31.2"W</t>
  </si>
  <si>
    <t>Les différences d'altitude sont très peu marquées, l'appelation Pas est parfois douteuse et ne désigne pas toujours un col… surtout en Bretagne</t>
  </si>
  <si>
    <t>FR-37-0087</t>
  </si>
  <si>
    <t>le Pas de St-Martin</t>
  </si>
  <si>
    <t>1824O</t>
  </si>
  <si>
    <t>120-163</t>
  </si>
  <si>
    <t>310-5220-16-22</t>
  </si>
  <si>
    <t>317-M06-008-094</t>
  </si>
  <si>
    <t>D208</t>
  </si>
  <si>
    <t>000°30'55.1"E</t>
  </si>
  <si>
    <t>Ce pas est lié à une légende concernant St Martin, sa monture ayant heurté un affleurement y aurait laissé une trace, ici pas n'a rien de topographique</t>
  </si>
  <si>
    <t>FR-37-0131</t>
  </si>
  <si>
    <t>Saint-Gilles-des-cols</t>
  </si>
  <si>
    <t>047-001</t>
  </si>
  <si>
    <t>300-5205-37-12</t>
  </si>
  <si>
    <t>000°25'05.8"E</t>
  </si>
  <si>
    <t>46°58'50.0"N</t>
  </si>
  <si>
    <t>Le document géographique d'Indre et Loire indique le premier nom latin de la Chapelle Saint-Gilles-des-Cols. on y trouve "collibus" ou "collis" ce qui se traduit par "colline" et non par "col". Il faut donc lire "Saint-Gilles-des-Collines.</t>
  </si>
  <si>
    <t>FR-38-0220</t>
  </si>
  <si>
    <t>Raymond Castano</t>
  </si>
  <si>
    <t>Col Raymond Castano</t>
  </si>
  <si>
    <t>3131O</t>
  </si>
  <si>
    <t>085-074</t>
  </si>
  <si>
    <t>665-5070-18-25</t>
  </si>
  <si>
    <t>333-D03-076-089</t>
  </si>
  <si>
    <t>D55</t>
  </si>
  <si>
    <t>005°08'46.5"E</t>
  </si>
  <si>
    <t>45°47'10.7"N</t>
  </si>
  <si>
    <t>Bonne blague d'un club local</t>
  </si>
  <si>
    <t>FR-38-0402</t>
  </si>
  <si>
    <t>Croix Bayard</t>
  </si>
  <si>
    <t>Col de la Croix Bayard</t>
  </si>
  <si>
    <t>3233E</t>
  </si>
  <si>
    <t>175-006</t>
  </si>
  <si>
    <t>705-5025-03-18</t>
  </si>
  <si>
    <t>333-G05-063-024</t>
  </si>
  <si>
    <t>D520/D128</t>
  </si>
  <si>
    <t>005°37'16.3"E</t>
  </si>
  <si>
    <t>45°21'54.1"N</t>
  </si>
  <si>
    <t>La référence: "site web géolalpes" n'a pas été jugée suffisante. Le terme de col est utilisé par l'auteur pour la clarté de ses explications mais le terme n'est pas connu localement et aucune autre source ne le mentionne.</t>
  </si>
  <si>
    <t>FR-38-0501</t>
  </si>
  <si>
    <t>Seuil de la ~</t>
  </si>
  <si>
    <t>Pensière</t>
  </si>
  <si>
    <t>Seuil de la Pensière</t>
  </si>
  <si>
    <t>153-045</t>
  </si>
  <si>
    <t>700-5030-29-07</t>
  </si>
  <si>
    <t>333-G05-048-050</t>
  </si>
  <si>
    <t>D49/D49c</t>
  </si>
  <si>
    <t>005°35'34.4"E</t>
  </si>
  <si>
    <t>45°24'00.7"N</t>
  </si>
  <si>
    <t>La référence: "site web géolalpes" n'a pas été jugée suffisante. Le terme de seuil est utilisé par l'auteur pour la clarté de ses explications mais le terme n'est pas connu localement et aucune autre source ne le mentionne.</t>
  </si>
  <si>
    <t>FR-38-0526</t>
  </si>
  <si>
    <t>Verdin</t>
  </si>
  <si>
    <t>Col du Verdin</t>
  </si>
  <si>
    <t>3233O</t>
  </si>
  <si>
    <t>135-041</t>
  </si>
  <si>
    <t>700-5030-11-03</t>
  </si>
  <si>
    <t>333-G05-036-047</t>
  </si>
  <si>
    <t>N75</t>
  </si>
  <si>
    <t>005°34'11.2"E</t>
  </si>
  <si>
    <t>45°23'48.7"N</t>
  </si>
  <si>
    <t>FR-38-0649</t>
  </si>
  <si>
    <t>Touvat</t>
  </si>
  <si>
    <t>Col du Touvat</t>
  </si>
  <si>
    <t>176-063</t>
  </si>
  <si>
    <t>705-5030-02-26</t>
  </si>
  <si>
    <t>333-G05-064-062</t>
  </si>
  <si>
    <t>D49c</t>
  </si>
  <si>
    <t>005°37'19.3"E</t>
  </si>
  <si>
    <t>45°25'00.9"N</t>
  </si>
  <si>
    <t>FR-38-0670</t>
  </si>
  <si>
    <t>Echalier</t>
  </si>
  <si>
    <t>Pas de l'Echalier</t>
  </si>
  <si>
    <t>3235E</t>
  </si>
  <si>
    <t>186-035</t>
  </si>
  <si>
    <t>705-4985-24-48</t>
  </si>
  <si>
    <t>005°37'58.9"E</t>
  </si>
  <si>
    <t>45°01'53.6"N</t>
  </si>
  <si>
    <t>FR-38-0911</t>
  </si>
  <si>
    <t>Facteur</t>
  </si>
  <si>
    <t>Pas du Facteur</t>
  </si>
  <si>
    <t>3333E</t>
  </si>
  <si>
    <t>156-053</t>
  </si>
  <si>
    <t>730-5030-14-24</t>
  </si>
  <si>
    <t>S. GR</t>
  </si>
  <si>
    <t>005°57'23.9"E</t>
  </si>
  <si>
    <t>45°24'26.1"N</t>
  </si>
  <si>
    <t>Ce pas correspond au franchissement d'une barre rocheuse sous la crête (positionnement Bdnyme IGN). Il ne s'agit donc pas d'un col.</t>
  </si>
  <si>
    <t>FR-38-0930a</t>
  </si>
  <si>
    <t>le Collet</t>
  </si>
  <si>
    <t>3336O</t>
  </si>
  <si>
    <t>002-144</t>
  </si>
  <si>
    <t>715-4980-27-11</t>
  </si>
  <si>
    <t>333-H08-049-086</t>
  </si>
  <si>
    <t>005°45'33.0"E</t>
  </si>
  <si>
    <t>44°56'58.5"N</t>
  </si>
  <si>
    <t>Désigne le hameau qui n'est pas positionné sur un col topographique.</t>
  </si>
  <si>
    <t>FR-38-0940</t>
  </si>
  <si>
    <t>Croix de Coquet</t>
  </si>
  <si>
    <t>Passage de la Croix de Coquet</t>
  </si>
  <si>
    <t>3334O</t>
  </si>
  <si>
    <t>129-190</t>
  </si>
  <si>
    <t>725-5025-39-10</t>
  </si>
  <si>
    <t>005°55'19.5"E</t>
  </si>
  <si>
    <t>45°21'02.0"N</t>
  </si>
  <si>
    <t>Col nommé sur un document d'un Office du Tourisme, source non reconnue</t>
  </si>
  <si>
    <t>FR-38-0950a</t>
  </si>
  <si>
    <t>3236E</t>
  </si>
  <si>
    <t>148-016</t>
  </si>
  <si>
    <t>700-4965-42-28</t>
  </si>
  <si>
    <t>S1(N). S1-2-3(S)</t>
  </si>
  <si>
    <t>005°35'01.6"E</t>
  </si>
  <si>
    <t>44°50'03.5"N</t>
  </si>
  <si>
    <t>Ce pas correspond au franchissement par un sentier (GR) d'une barre rocheuse sans qu'il y ait une ligne de partage des eaux. Il ne s'agit pas d'un col.</t>
  </si>
  <si>
    <t>FR-38-1015</t>
  </si>
  <si>
    <t>Ranc</t>
  </si>
  <si>
    <t>Pas du Ranc</t>
  </si>
  <si>
    <t>3235O</t>
  </si>
  <si>
    <t>024-078</t>
  </si>
  <si>
    <t>690-4990-10-36</t>
  </si>
  <si>
    <t>S4-5(S). S1-2(N). GR9</t>
  </si>
  <si>
    <t>005°25'35.8"E</t>
  </si>
  <si>
    <t>45°04'12.2"N</t>
  </si>
  <si>
    <t>Ce pas correspond au franchissement d'une corniche sans qu'il y ait une ligne de partage des eaux. Il ne s'agit donc pas d'un col.</t>
  </si>
  <si>
    <t>FR-38-1040a</t>
  </si>
  <si>
    <t>Corne</t>
  </si>
  <si>
    <t>Pas de la Corne</t>
  </si>
  <si>
    <t>176-193</t>
  </si>
  <si>
    <t>705-5005-09-06</t>
  </si>
  <si>
    <t>005°37'14.8"E</t>
  </si>
  <si>
    <t>45°10'24.1"N</t>
  </si>
  <si>
    <t>FR-38-1040b</t>
  </si>
  <si>
    <t>Curé</t>
  </si>
  <si>
    <t>Pas du Curé</t>
  </si>
  <si>
    <t>3234E</t>
  </si>
  <si>
    <t>181-001</t>
  </si>
  <si>
    <t>705-5005-14-14</t>
  </si>
  <si>
    <t>005°37'38.1"E</t>
  </si>
  <si>
    <t>45°10'50.3"N</t>
  </si>
  <si>
    <t>1997 - N°25</t>
  </si>
  <si>
    <t>Il s'agit du passage difficile au fond d'une gorge et non d'un col.</t>
  </si>
  <si>
    <t>FR-38-1088</t>
  </si>
  <si>
    <t>Passage du ~</t>
  </si>
  <si>
    <t>Versoud</t>
  </si>
  <si>
    <t>Passage du Versoud</t>
  </si>
  <si>
    <t>3234O</t>
  </si>
  <si>
    <t>093-023</t>
  </si>
  <si>
    <t>695-5005-26-33</t>
  </si>
  <si>
    <t>005°30'57.5"E</t>
  </si>
  <si>
    <t>45°12'03.1"N</t>
  </si>
  <si>
    <t>FR-38-1100</t>
  </si>
  <si>
    <t>Goulet des ~</t>
  </si>
  <si>
    <t>Moulins</t>
  </si>
  <si>
    <t>Goulet des Moulins</t>
  </si>
  <si>
    <t>177-195</t>
  </si>
  <si>
    <t>705-5005-10-08</t>
  </si>
  <si>
    <t>005°37'19.4"E</t>
  </si>
  <si>
    <t>45°10'31.2"N</t>
  </si>
  <si>
    <t>FR-38-1150b</t>
  </si>
  <si>
    <t>Chauplane</t>
  </si>
  <si>
    <t>Pas de Chauplane</t>
  </si>
  <si>
    <t>137-059</t>
  </si>
  <si>
    <t>700-4970-30-20</t>
  </si>
  <si>
    <t>005°34'11.9"E</t>
  </si>
  <si>
    <t>44°52'21.7"N</t>
  </si>
  <si>
    <t>FR-38-1170</t>
  </si>
  <si>
    <t>Boircon</t>
  </si>
  <si>
    <t>Col de Boircon</t>
  </si>
  <si>
    <t>184-190</t>
  </si>
  <si>
    <t>705-5005-18-03</t>
  </si>
  <si>
    <t>333-G06-069-003</t>
  </si>
  <si>
    <t>005°37'52.9"E</t>
  </si>
  <si>
    <t>45°10'16.1"N</t>
  </si>
  <si>
    <t>2000 - N°28</t>
  </si>
  <si>
    <t>Ce col est née d'une plaisanterie locale (source: mairie de St Nizier) Allusion au col de Comboire situé au pied de la montagne plus à l'est.</t>
  </si>
  <si>
    <t>FR-38-1290</t>
  </si>
  <si>
    <t>Bru</t>
  </si>
  <si>
    <t>Pas du Bru</t>
  </si>
  <si>
    <t>135-083</t>
  </si>
  <si>
    <t>700-4970-27-44</t>
  </si>
  <si>
    <t>333-G08-036-045</t>
  </si>
  <si>
    <t>D8a</t>
  </si>
  <si>
    <t>005°34'03.3"E</t>
  </si>
  <si>
    <t>44°53'39.4"N</t>
  </si>
  <si>
    <t>La Bdnyme de l'IGN pointe sur le nom ce qui indique un secteur et non un point précis comme l'est un col. Confusion entre "pras" qui signifie "pré" et "pas" (voir cadastre).</t>
  </si>
  <si>
    <t>FR-38-1308a</t>
  </si>
  <si>
    <t>134-090</t>
  </si>
  <si>
    <t>730-4955-18-11</t>
  </si>
  <si>
    <t>333-I09-049-040</t>
  </si>
  <si>
    <t>D517</t>
  </si>
  <si>
    <t>005°55'35.1"E</t>
  </si>
  <si>
    <t>44°43'15.3"N</t>
  </si>
  <si>
    <t>1996 - N°24</t>
  </si>
  <si>
    <t>Ici. Collet prend le sens de colline.</t>
  </si>
  <si>
    <t>FR-38-1360</t>
  </si>
  <si>
    <t>Pas de l'Ane</t>
  </si>
  <si>
    <t>183-099</t>
  </si>
  <si>
    <t>705-4995-20-12</t>
  </si>
  <si>
    <t>005°37'48.9"E</t>
  </si>
  <si>
    <t>45°05'19.6"N</t>
  </si>
  <si>
    <t>Col topographiquement peu marqué</t>
  </si>
  <si>
    <t>FR-38-1375</t>
  </si>
  <si>
    <t>Emeindras</t>
  </si>
  <si>
    <t>Col de l'Emeindras</t>
  </si>
  <si>
    <t>034-115</t>
  </si>
  <si>
    <t>715-5015-46-33</t>
  </si>
  <si>
    <t>R1-2(S)</t>
  </si>
  <si>
    <t>005°48'00.7"E</t>
  </si>
  <si>
    <t>45°17'00.6"N</t>
  </si>
  <si>
    <t>Il n'y a qu'un seul col de l'Emeindras. Voir 38-1360a</t>
  </si>
  <si>
    <t>FR-38-1385a</t>
  </si>
  <si>
    <t>Trou du ~</t>
  </si>
  <si>
    <t>Vau</t>
  </si>
  <si>
    <t>Trou du Vau</t>
  </si>
  <si>
    <t>079-115</t>
  </si>
  <si>
    <t>695-4995-15-25</t>
  </si>
  <si>
    <t>333-F07-086-077</t>
  </si>
  <si>
    <t>005°29'50.2"E</t>
  </si>
  <si>
    <t>45°06'12.2"N</t>
  </si>
  <si>
    <t>L'IGN positionne le Trou du Vau à un endroit ne présentant pas les caractéristiques d'un col.</t>
  </si>
  <si>
    <t>FR-38-1542</t>
  </si>
  <si>
    <t>Confession</t>
  </si>
  <si>
    <t>Pas de la Confession</t>
  </si>
  <si>
    <t>3335E</t>
  </si>
  <si>
    <t>224-089</t>
  </si>
  <si>
    <t>265-4995-22-11</t>
  </si>
  <si>
    <t>333-J07-022-060</t>
  </si>
  <si>
    <t>D211b</t>
  </si>
  <si>
    <t>006°02'29.4"E</t>
  </si>
  <si>
    <t>45°04'49.2"N</t>
  </si>
  <si>
    <t>Pas de caractères topographiques d'un col bien marqués.</t>
  </si>
  <si>
    <t>FR-38-1563</t>
  </si>
  <si>
    <t>3333O</t>
  </si>
  <si>
    <t>039-025</t>
  </si>
  <si>
    <t>715-5025-47-43</t>
  </si>
  <si>
    <t>005°48'24.1"E</t>
  </si>
  <si>
    <t>Passage délicat sans caractère topographique très marqué.</t>
  </si>
  <si>
    <t>FR-38-1570</t>
  </si>
  <si>
    <t>Bachat</t>
  </si>
  <si>
    <t>Col du Bachat</t>
  </si>
  <si>
    <t>3237E</t>
  </si>
  <si>
    <t>176-142</t>
  </si>
  <si>
    <t>705-4960-23-05</t>
  </si>
  <si>
    <t>005°37'09.1"E</t>
  </si>
  <si>
    <t>44°46'03.9"N</t>
  </si>
  <si>
    <t>Mal positionné sur les cartes IGN. Les cadastres de Percy et du Monestier du Percy. ainsi que le panneautage du CG38 confirment la position au pc 1561. Voir FR-38-1561</t>
  </si>
  <si>
    <t>FR-38-1575</t>
  </si>
  <si>
    <t>Senepy</t>
  </si>
  <si>
    <t>Col de Senepy</t>
  </si>
  <si>
    <t>268-106</t>
  </si>
  <si>
    <t>715-4975-10-22</t>
  </si>
  <si>
    <t>R1(S)(E)</t>
  </si>
  <si>
    <t>005°44'13.8"E</t>
  </si>
  <si>
    <t>44°54'55.1"N</t>
  </si>
  <si>
    <t>Voir FR-38-1526a</t>
  </si>
  <si>
    <t>FR-38-1640a</t>
  </si>
  <si>
    <t>Aiguille</t>
  </si>
  <si>
    <t>Pas de l'Aiguille</t>
  </si>
  <si>
    <t>091-188</t>
  </si>
  <si>
    <t>695-4960-37-48</t>
  </si>
  <si>
    <t>R1-S4(E). S1-3(SE). GR94. Interdit</t>
  </si>
  <si>
    <t>005°30'44.6"E</t>
  </si>
  <si>
    <t>44°48'33.2"N</t>
  </si>
  <si>
    <t>Passage pour accéder au plateau du Vercors. par une combe étroite et abrupte. Il ne s'agit pas d'un col. (pas de LPE)</t>
  </si>
  <si>
    <t>FR-38-1700b</t>
  </si>
  <si>
    <t>Escaliers</t>
  </si>
  <si>
    <t>Pas des Escaliers</t>
  </si>
  <si>
    <t>3335O</t>
  </si>
  <si>
    <t>103-058</t>
  </si>
  <si>
    <t>725-4990-24-28</t>
  </si>
  <si>
    <t>333-I07-029-039</t>
  </si>
  <si>
    <t>005°53'16.1"E</t>
  </si>
  <si>
    <t>45°03'07.8"N</t>
  </si>
  <si>
    <t>Les caractères topographiques ont été jugés insuffisants.</t>
  </si>
  <si>
    <t>FR-38-1770</t>
  </si>
  <si>
    <t>Brèche</t>
  </si>
  <si>
    <t>Col de la Brèche</t>
  </si>
  <si>
    <t>045-188</t>
  </si>
  <si>
    <t>720-4965-25-06</t>
  </si>
  <si>
    <t>R1 S3-4(N)(S). GR</t>
  </si>
  <si>
    <t>005°48'50.4"E</t>
  </si>
  <si>
    <t>44°48'33.5"N</t>
  </si>
  <si>
    <t>Malgré une pancarte indiquant "col de la Brèche" sur le GR à 1770m. il n'existe qu'un seul col de ce nom à 1675m. comme l'indique la carte.</t>
  </si>
  <si>
    <t>FR-38-1790</t>
  </si>
  <si>
    <t>Col de ~ 
Col de la ~</t>
  </si>
  <si>
    <t>Chamrousse
Croisette</t>
  </si>
  <si>
    <t>Col de Chamrousse 
Col de la Croisette</t>
  </si>
  <si>
    <t>096-128</t>
  </si>
  <si>
    <t>725-4995-14-47</t>
  </si>
  <si>
    <t>333-I07-024-085</t>
  </si>
  <si>
    <t>005°52'43.2"E</t>
  </si>
  <si>
    <t>45°06'53.1"N</t>
  </si>
  <si>
    <t>Pas de caractère topographique. Panneau posé dans un but promotionnel.</t>
  </si>
  <si>
    <t>FR-38-1800</t>
  </si>
  <si>
    <t>Fenêtre</t>
  </si>
  <si>
    <t>Pas de la Fenêtre</t>
  </si>
  <si>
    <t>124-010</t>
  </si>
  <si>
    <t>700-4985-13-21</t>
  </si>
  <si>
    <t>005°33'14.8"E</t>
  </si>
  <si>
    <t>45°00'32.6"N</t>
  </si>
  <si>
    <t>FR-38-1947</t>
  </si>
  <si>
    <t>Le Grand Couloir</t>
  </si>
  <si>
    <t>148-022</t>
  </si>
  <si>
    <t>700-4985-37-34</t>
  </si>
  <si>
    <t>005°35'07.0"E</t>
  </si>
  <si>
    <t>45°01'11.5"N</t>
  </si>
  <si>
    <t>Topographie et intitulé très incertains.</t>
  </si>
  <si>
    <t>FR-38-1966a</t>
  </si>
  <si>
    <t>Le Col d'~</t>
  </si>
  <si>
    <t>en Bas</t>
  </si>
  <si>
    <t>Le Col d'en Bas</t>
  </si>
  <si>
    <t>3334E</t>
  </si>
  <si>
    <t>269-006</t>
  </si>
  <si>
    <t>270-5005-22-26</t>
  </si>
  <si>
    <t>006°05'59.8"E</t>
  </si>
  <si>
    <t>45°11'06.3"N</t>
  </si>
  <si>
    <t>C'est le nom d'un chalet. Le col est celui du Sabot</t>
  </si>
  <si>
    <t>FR-38-2055</t>
  </si>
  <si>
    <t>en Haut</t>
  </si>
  <si>
    <t>Le Col d'en Haut</t>
  </si>
  <si>
    <t>271-010</t>
  </si>
  <si>
    <t>270-5005-24-30</t>
  </si>
  <si>
    <t>006°06'11.4"E</t>
  </si>
  <si>
    <t>45°11'19.2"N</t>
  </si>
  <si>
    <t>FR-38-2773</t>
  </si>
  <si>
    <t>Brèche de la ~</t>
  </si>
  <si>
    <t>Mura</t>
  </si>
  <si>
    <t>Brèche de la Mura</t>
  </si>
  <si>
    <t>3436O</t>
  </si>
  <si>
    <t>275-4985-36-03</t>
  </si>
  <si>
    <t>R2-S4</t>
  </si>
  <si>
    <t>006°11'28.9"E</t>
  </si>
  <si>
    <t>44°59'12.3"N</t>
  </si>
  <si>
    <t>Pas de col topographique, cette brêche n'est qu'une entaille permettant l'écoulement du ruisseau de la Mura</t>
  </si>
  <si>
    <t>FR-38-2800</t>
  </si>
  <si>
    <t>Saint-Christophe</t>
  </si>
  <si>
    <t>Brèche de Saint-Christophe</t>
  </si>
  <si>
    <t>061-187</t>
  </si>
  <si>
    <t>275-4985-38-05</t>
  </si>
  <si>
    <t>006°11'38.9"E</t>
  </si>
  <si>
    <t>44°59'17.9"N</t>
  </si>
  <si>
    <t>FR-39-0894</t>
  </si>
  <si>
    <t>Cluse d'Ilay</t>
  </si>
  <si>
    <t>Col de la Cluse d'Ilay</t>
  </si>
  <si>
    <t>3327O</t>
  </si>
  <si>
    <t>112-(014)</t>
  </si>
  <si>
    <t>720-5165-24-07</t>
  </si>
  <si>
    <t>321-F07-036-080</t>
  </si>
  <si>
    <t>D678</t>
  </si>
  <si>
    <t>005°54'13.8"E</t>
  </si>
  <si>
    <t>46°36'27.6"N</t>
  </si>
  <si>
    <t>Le col n'est pas nommé en tant que tel sur le document justificatif qui n'est pas reconnu comme source fiable.</t>
  </si>
  <si>
    <t>FR-39-1050</t>
  </si>
  <si>
    <t>Mouillères</t>
  </si>
  <si>
    <t>Col des Mouillères</t>
  </si>
  <si>
    <t>089-(062)</t>
  </si>
  <si>
    <t>49°55'06.7"N</t>
  </si>
  <si>
    <t>FR-08-0266</t>
  </si>
  <si>
    <t>la Chitte Collet</t>
  </si>
  <si>
    <t>3008O</t>
  </si>
  <si>
    <t>047-045</t>
  </si>
  <si>
    <t>625-5525-01-41</t>
  </si>
  <si>
    <t xml:space="preserve"> </t>
  </si>
  <si>
    <t>004°44'31.3"E</t>
  </si>
  <si>
    <t>49°54'03.1"N</t>
  </si>
  <si>
    <t>Sur le flanc d'une colline, ce Collet n'a pas les caractéristique topographiques d'un col. Pourrait désigner la colline.</t>
  </si>
  <si>
    <t>FR-08-0273</t>
  </si>
  <si>
    <t>Passée de ~</t>
  </si>
  <si>
    <t>Chimay</t>
  </si>
  <si>
    <t>Passée de Chimay</t>
  </si>
  <si>
    <t>234-116</t>
  </si>
  <si>
    <t>590-5535-20-04</t>
  </si>
  <si>
    <t>004°16'59.4"E</t>
  </si>
  <si>
    <t>49°57'50.7"N</t>
  </si>
  <si>
    <t>"Taille de la Passée de Chimay" sur IGN. Nomination indirecte, Passée dans cette région désigne souvent un passage ou une passerelle sur une rivière ici probablement l'Artoise.</t>
  </si>
  <si>
    <t>FR-08-0274</t>
  </si>
  <si>
    <t>la Passe</t>
  </si>
  <si>
    <t>105-012</t>
  </si>
  <si>
    <t>630-5525-10-08</t>
  </si>
  <si>
    <t>004°49'22.8"E</t>
  </si>
  <si>
    <t>49°52'14.2"N</t>
  </si>
  <si>
    <t>Sur le flanc d'une colline, cette Passe n'est topographiquement pas un col</t>
  </si>
  <si>
    <t>FR-08-0279</t>
  </si>
  <si>
    <t>Passée du ~</t>
  </si>
  <si>
    <t>Risque Tout</t>
  </si>
  <si>
    <t>Passée du Risque Tout</t>
  </si>
  <si>
    <t>250-120</t>
  </si>
  <si>
    <t>590-5535-37-09</t>
  </si>
  <si>
    <t>004°18'21.2"E</t>
  </si>
  <si>
    <t>49°58'05.6"N</t>
  </si>
  <si>
    <t xml:space="preserve">Le Risque-Tout est une parcelle  située en Belgique. Cette Passée désigne le passage sur le ruisseau de la Bonde </t>
  </si>
  <si>
    <t>FR-08-0290</t>
  </si>
  <si>
    <t>Boulette</t>
  </si>
  <si>
    <t>Col de la Boulette</t>
  </si>
  <si>
    <t>3010E</t>
  </si>
  <si>
    <t>158-193</t>
  </si>
  <si>
    <t>635-5500-18-41</t>
  </si>
  <si>
    <t>004°53'45.9"E</t>
  </si>
  <si>
    <t>49°40'25.2"N</t>
  </si>
  <si>
    <t>Source insuffisante</t>
  </si>
  <si>
    <t>FR-08-0326</t>
  </si>
  <si>
    <t>la Passée du ~</t>
  </si>
  <si>
    <t>Lion</t>
  </si>
  <si>
    <t>la Passée du Lion</t>
  </si>
  <si>
    <t>2908O</t>
  </si>
  <si>
    <t>036-051</t>
  </si>
  <si>
    <t>595-5525-31-41</t>
  </si>
  <si>
    <t>004°22'00.5"E</t>
  </si>
  <si>
    <t>49°54'22.2"N</t>
  </si>
  <si>
    <t>FR-08-0433</t>
  </si>
  <si>
    <t>Morthéan</t>
  </si>
  <si>
    <t>Col du Morthéan</t>
  </si>
  <si>
    <t>3109O</t>
  </si>
  <si>
    <t>019-084</t>
  </si>
  <si>
    <t>645-5510-37-35</t>
  </si>
  <si>
    <t>306-M04-031-066</t>
  </si>
  <si>
    <t>RF</t>
  </si>
  <si>
    <t>005°03'50.0"E</t>
  </si>
  <si>
    <t>49°45'20.1"N</t>
  </si>
  <si>
    <t>Plutôt un sommet qu'un col - Longitude : 02°20'43''E  Latitude : 48°51'39''N</t>
  </si>
  <si>
    <t>FR-09-0360</t>
  </si>
  <si>
    <t>~
~</t>
  </si>
  <si>
    <t>Cot
Col</t>
  </si>
  <si>
    <t>2146O</t>
  </si>
  <si>
    <t>013-165</t>
  </si>
  <si>
    <t>370-4780-43-07</t>
  </si>
  <si>
    <t>343-G05-065-002</t>
  </si>
  <si>
    <t>001°27'11.1"E</t>
  </si>
  <si>
    <t>43°10'08.0"N</t>
  </si>
  <si>
    <t>Nous ne sommes pas dans la partie gasconne de l'Ariège mais dans l'aire languedocienne L'intitulé n'est pas conforme dans cette zone linguistique Cot de désigne donc pas le col</t>
  </si>
  <si>
    <t>FR-09-0425</t>
  </si>
  <si>
    <t>Cap du ~</t>
  </si>
  <si>
    <t>Cami</t>
  </si>
  <si>
    <t>Cap du Cami</t>
  </si>
  <si>
    <t>2046O</t>
  </si>
  <si>
    <t>076-107</t>
  </si>
  <si>
    <t>350-4775-11-04</t>
  </si>
  <si>
    <t>343-F06-002-086</t>
  </si>
  <si>
    <t>001°10'12.5"E</t>
  </si>
  <si>
    <t>43°06'58.7"N</t>
  </si>
  <si>
    <t>Cap signifie sommet (tête) Il ne s'agit pas d'un intitulé de col.</t>
  </si>
  <si>
    <t>FR-09-0455</t>
  </si>
  <si>
    <t>~ col</t>
  </si>
  <si>
    <t>Cap del</t>
  </si>
  <si>
    <t>Cap del col</t>
  </si>
  <si>
    <t>2147E</t>
  </si>
  <si>
    <t>287-194</t>
  </si>
  <si>
    <t>400-4760-13-31</t>
  </si>
  <si>
    <t>001°47'20.4"E</t>
  </si>
  <si>
    <t>43°00'51.5"N</t>
  </si>
  <si>
    <t>L'intitulé a été jugé insuffisant</t>
  </si>
  <si>
    <t>FR-09-0546</t>
  </si>
  <si>
    <t>Tarrouge</t>
  </si>
  <si>
    <t>Pas de Tarrouge</t>
  </si>
  <si>
    <t>051-003</t>
  </si>
  <si>
    <t>375-4760-27-44</t>
  </si>
  <si>
    <t>343-G06-090-017</t>
  </si>
  <si>
    <t>D11</t>
  </si>
  <si>
    <t>001°29'55.7"E</t>
  </si>
  <si>
    <t>43°01'20.9"N</t>
  </si>
  <si>
    <t>Trop de doute sur cette proposition. à la fois sur l'emplacement proposé et sur le panneau artisanal.</t>
  </si>
  <si>
    <t>FR-09-0565a</t>
  </si>
  <si>
    <t>Couret de la ~</t>
  </si>
  <si>
    <t>Croix</t>
  </si>
  <si>
    <t>Couret de la Croix</t>
  </si>
  <si>
    <t>2047O</t>
  </si>
  <si>
    <t>014-145</t>
  </si>
  <si>
    <t>340-4755-45-43</t>
  </si>
  <si>
    <t>001°05'37.4"E</t>
  </si>
  <si>
    <t>42°58'13.8"N</t>
  </si>
  <si>
    <t>Le toponyme est inscrit sur la carte de la façon dont l'IGN nomme une crête. Selon certains auteurs. "Couret" nomment aussi des enclos pour le bétail ou des sommets qui ont été fortifiés. Ce cas est fréquent dans le Couserans.</t>
  </si>
  <si>
    <t>FR-09-0585b</t>
  </si>
  <si>
    <t>Cap de la ~</t>
  </si>
  <si>
    <t>Goutte</t>
  </si>
  <si>
    <t>Cap de la Goutte</t>
  </si>
  <si>
    <t>2046E</t>
  </si>
  <si>
    <t>178-046</t>
  </si>
  <si>
    <t>360-4765-12-41</t>
  </si>
  <si>
    <t>343-F06-070-046</t>
  </si>
  <si>
    <t>D215</t>
  </si>
  <si>
    <t>001°17'42.0"E</t>
  </si>
  <si>
    <t>43°03'42.0"N</t>
  </si>
  <si>
    <t>FR-09-0695</t>
  </si>
  <si>
    <t>Passage de la ~</t>
  </si>
  <si>
    <t>Mandre</t>
  </si>
  <si>
    <t>Passage de la Mandre</t>
  </si>
  <si>
    <t>209-152</t>
  </si>
  <si>
    <t>390-4755-35-41</t>
  </si>
  <si>
    <t>001°41'37.0"E</t>
  </si>
  <si>
    <t>42°58'37.8"N</t>
  </si>
  <si>
    <t>La topographie n'est pas celle d'un col. Passge n'est pas systématiquement synonyme de col</t>
  </si>
  <si>
    <t>FR-09-0714</t>
  </si>
  <si>
    <t>Courech</t>
  </si>
  <si>
    <t>100-076</t>
  </si>
  <si>
    <t>350-4750-30-22</t>
  </si>
  <si>
    <t>001°11'57.2"E</t>
  </si>
  <si>
    <t>Pas la topographie d'un col, Courech ne désigne pas un col.</t>
  </si>
  <si>
    <t>FR-09-0715b</t>
  </si>
  <si>
    <t>Ours</t>
  </si>
  <si>
    <t>Pas de l'Ours</t>
  </si>
  <si>
    <t>2148O</t>
  </si>
  <si>
    <t>130-183</t>
  </si>
  <si>
    <t>385-4740-02-23</t>
  </si>
  <si>
    <t>001°35'44.4"E</t>
  </si>
  <si>
    <t>42°49'29.0"N</t>
  </si>
  <si>
    <t>FR-09-0749</t>
  </si>
  <si>
    <t xml:space="preserve"> Col de l' ~</t>
  </si>
  <si>
    <t>Oule</t>
  </si>
  <si>
    <t xml:space="preserve"> Col de l' Oule</t>
  </si>
  <si>
    <t>084-014</t>
  </si>
  <si>
    <t>350-4745-12-10</t>
  </si>
  <si>
    <t>001°10'44.4"E</t>
  </si>
  <si>
    <t>42°51'08.9"N</t>
  </si>
  <si>
    <t>IGN confirme qu'il s'agit d'un hameau et non d'un col.</t>
  </si>
  <si>
    <t>FR-09-0795</t>
  </si>
  <si>
    <t>Cot de la ~</t>
  </si>
  <si>
    <t>Liou</t>
  </si>
  <si>
    <t>Cot de la Liou</t>
  </si>
  <si>
    <t>133-016</t>
  </si>
  <si>
    <t>355-4745-12-11</t>
  </si>
  <si>
    <t>001°14'22.8"E</t>
  </si>
  <si>
    <t>42°51'14.7"N</t>
  </si>
  <si>
    <t>La Traverse</t>
  </si>
  <si>
    <t>2732E</t>
  </si>
  <si>
    <t>249-114</t>
  </si>
  <si>
    <t>570-5050-15-47</t>
  </si>
  <si>
    <t>327-C06-044-106</t>
  </si>
  <si>
    <t>D69/D20</t>
  </si>
  <si>
    <t>003°55'03.7"E</t>
  </si>
  <si>
    <t>45°38'33.3"N</t>
  </si>
  <si>
    <t>L'intitulé "Traverse" n'a pas été retenu</t>
  </si>
  <si>
    <t>FR-42-1056</t>
  </si>
  <si>
    <t>Saint-Sabin</t>
  </si>
  <si>
    <t>Col de Saint-Sabin</t>
  </si>
  <si>
    <t>2933E</t>
  </si>
  <si>
    <t>(047)-010</t>
  </si>
  <si>
    <t>625-5025-16-03</t>
  </si>
  <si>
    <t>327-G07-061-027</t>
  </si>
  <si>
    <t>004°37'01.1"E</t>
  </si>
  <si>
    <t>45°22'09.8"N</t>
  </si>
  <si>
    <t>Intitulé et nom n'apparaissant que sur un guide de randonnées. La source a été jugée insuffisante</t>
  </si>
  <si>
    <t>FR-43-0858</t>
  </si>
  <si>
    <t>2736E</t>
  </si>
  <si>
    <t>216-191</t>
  </si>
  <si>
    <t>565-4980-37-24</t>
  </si>
  <si>
    <t>331-F04-020-117</t>
  </si>
  <si>
    <t>003°52'18.4"E</t>
  </si>
  <si>
    <t>44°59'29.6"N</t>
  </si>
  <si>
    <t>Topographie insuffisante. Le "Mauvais pas" peut désigner l'accès difficile au village côté est. Le village a pris ce nom.</t>
  </si>
  <si>
    <t>FR-43-1304</t>
  </si>
  <si>
    <t>Hospitalet</t>
  </si>
  <si>
    <t>Col de l'Hospitalet</t>
  </si>
  <si>
    <t>2636E</t>
  </si>
  <si>
    <t>(106)-013</t>
  </si>
  <si>
    <t>535-4960-15-44</t>
  </si>
  <si>
    <t>331-C05-068-123</t>
  </si>
  <si>
    <t>D587</t>
  </si>
  <si>
    <t>003°27'44.2"E</t>
  </si>
  <si>
    <t>44°49'54.5"N</t>
  </si>
  <si>
    <t>Uniquement mentionné sur des documents non reconnus.</t>
  </si>
  <si>
    <t>FR-45-0128</t>
  </si>
  <si>
    <t>Mouchards</t>
  </si>
  <si>
    <t>Col des Mouchards</t>
  </si>
  <si>
    <t>2318E</t>
  </si>
  <si>
    <t>183-128</t>
  </si>
  <si>
    <t>455-5335-07-10</t>
  </si>
  <si>
    <t>318-L02-035-006</t>
  </si>
  <si>
    <t>D312</t>
  </si>
  <si>
    <t>002°24'13.3"E</t>
  </si>
  <si>
    <t>48°10'31.3"N</t>
  </si>
  <si>
    <t>FR-45-0275</t>
  </si>
  <si>
    <t>Etourneaux</t>
  </si>
  <si>
    <t>Col des Etourneaux</t>
  </si>
  <si>
    <t>2421E</t>
  </si>
  <si>
    <t>135-016</t>
  </si>
  <si>
    <t>475-5260-22-46</t>
  </si>
  <si>
    <t>318-N06-015-025</t>
  </si>
  <si>
    <t>002°41'47.6"E</t>
  </si>
  <si>
    <t>47°32'03.0"N</t>
  </si>
  <si>
    <t>Crée par des club locaux. ce "col" n'est qu'un sommet.</t>
  </si>
  <si>
    <t>FR-46-0144</t>
  </si>
  <si>
    <t>le Col</t>
  </si>
  <si>
    <t>2136E</t>
  </si>
  <si>
    <t>278-109</t>
  </si>
  <si>
    <t>400-4970-45-45</t>
  </si>
  <si>
    <t>337-G02-065-063</t>
  </si>
  <si>
    <t>001°47'23.5"E</t>
  </si>
  <si>
    <t>44°55'03.9"N</t>
  </si>
  <si>
    <t>Le Col vient de l'intitulé indirect Place du Col qui est le nom d'une place de Puybrun. Nous sommes ici sur un plateau où il n'y aucun col.</t>
  </si>
  <si>
    <t>FR-46-0215</t>
  </si>
  <si>
    <t>Le Pas du Loup</t>
  </si>
  <si>
    <t>2136O</t>
  </si>
  <si>
    <t>005-115</t>
  </si>
  <si>
    <t>375-4975-21-06</t>
  </si>
  <si>
    <t>337-E02-057-067</t>
  </si>
  <si>
    <t>001°26'33.1"E</t>
  </si>
  <si>
    <t>44°55'23.8"N</t>
  </si>
  <si>
    <t>Il s'agit d'un secteur et non d'un point précis.</t>
  </si>
  <si>
    <t>FR-46-0215a</t>
  </si>
  <si>
    <t>Fages</t>
  </si>
  <si>
    <t>Col de Fages</t>
  </si>
  <si>
    <t>2038O</t>
  </si>
  <si>
    <t>137-032</t>
  </si>
  <si>
    <t>360-4925-08-26</t>
  </si>
  <si>
    <t>001°14'57.4"E</t>
  </si>
  <si>
    <t>44°29'18.5"N</t>
  </si>
  <si>
    <t>Le panneau indicateur est directionnel. Il ne permet pas de situer le col avec précision. L'emplacement proposé n'est que supposé. Des recherches complémentaires sont nécessaires.</t>
  </si>
  <si>
    <t>FR-46-0310</t>
  </si>
  <si>
    <t>Lacave</t>
  </si>
  <si>
    <t>Col de Lacave</t>
  </si>
  <si>
    <t>119-005</t>
  </si>
  <si>
    <t>385-4960-33-44</t>
  </si>
  <si>
    <t>337-F03-046-117</t>
  </si>
  <si>
    <t>D247</t>
  </si>
  <si>
    <t>001°35'15.5"E</t>
  </si>
  <si>
    <t>44°49'27.3"N</t>
  </si>
  <si>
    <t>Saint-Couat</t>
  </si>
  <si>
    <t>Col de Saint-Couat</t>
  </si>
  <si>
    <t>2446O</t>
  </si>
  <si>
    <t>085-194</t>
  </si>
  <si>
    <t>465-4780-42-25</t>
  </si>
  <si>
    <t>002°37'16.9"E</t>
  </si>
  <si>
    <t>43°11'39.5"N</t>
  </si>
  <si>
    <t>FR-11-0086</t>
  </si>
  <si>
    <t>Lière</t>
  </si>
  <si>
    <t>Col de Lière</t>
  </si>
  <si>
    <t>025-181</t>
  </si>
  <si>
    <t>460-4780-32-12</t>
  </si>
  <si>
    <t>002°32'50.6"E</t>
  </si>
  <si>
    <t>43°10'58.5"N</t>
  </si>
  <si>
    <t xml:space="preserve">Pas de caractères topographiques d'un col. La typographie utilisée n'est pas celle attribuée à un col sur les cartes IGN. </t>
  </si>
  <si>
    <t>FR-11-0104</t>
  </si>
  <si>
    <t>Tour</t>
  </si>
  <si>
    <t>Col de la Tour</t>
  </si>
  <si>
    <t>077-048</t>
  </si>
  <si>
    <t>495-4745-26-29</t>
  </si>
  <si>
    <t>002°58'16.4"E</t>
  </si>
  <si>
    <t>42°53'00.4"N</t>
  </si>
  <si>
    <t>FR-11-0122</t>
  </si>
  <si>
    <t>Passage des ~
Col de ~</t>
  </si>
  <si>
    <t>Inférêts
Pierre Droite</t>
  </si>
  <si>
    <t>Passage des Inférêts
Col de Pierre Droite</t>
  </si>
  <si>
    <t>2546E</t>
  </si>
  <si>
    <t>161-125</t>
  </si>
  <si>
    <t>505-4775-11-05</t>
  </si>
  <si>
    <t>003°04'29.2"E</t>
  </si>
  <si>
    <t>43°07'57.1"N</t>
  </si>
  <si>
    <t>Non cartographié. Le seul document citant ce col n'est pas reconnu par le CCC</t>
  </si>
  <si>
    <t>FR-11-0140</t>
  </si>
  <si>
    <t>le Col des ~</t>
  </si>
  <si>
    <t>Ières</t>
  </si>
  <si>
    <t>le Col des Ières</t>
  </si>
  <si>
    <t>2447E</t>
  </si>
  <si>
    <t>261-125</t>
  </si>
  <si>
    <t>485-4755-17-05</t>
  </si>
  <si>
    <t>002°50'13.7"E</t>
  </si>
  <si>
    <t>42°57'07.4"N</t>
  </si>
  <si>
    <t>FR-11-0160</t>
  </si>
  <si>
    <t>Pas d'~</t>
  </si>
  <si>
    <t>Achès</t>
  </si>
  <si>
    <t>Pas d'Achès</t>
  </si>
  <si>
    <t>2445O</t>
  </si>
  <si>
    <t>021-090</t>
  </si>
  <si>
    <t>460-4790-31-22</t>
  </si>
  <si>
    <t>002°32'44.3"E</t>
  </si>
  <si>
    <t>43°16'53.2"N</t>
  </si>
  <si>
    <t>Le pas désigne ici une combe permettant l'accès à un plateau</t>
  </si>
  <si>
    <t>FR-11-0190</t>
  </si>
  <si>
    <t>Col de las ~</t>
  </si>
  <si>
    <t>Breichos</t>
  </si>
  <si>
    <t>Col de las Breichos</t>
  </si>
  <si>
    <t>192-158</t>
  </si>
  <si>
    <t>475-4755-48-38</t>
  </si>
  <si>
    <t>344-H05-046-110</t>
  </si>
  <si>
    <t>D123</t>
  </si>
  <si>
    <t>002°45'07.6"E</t>
  </si>
  <si>
    <t>42°58'55.0"N</t>
  </si>
  <si>
    <t>Pas de cractère topographique</t>
  </si>
  <si>
    <t>FR-11-0195c</t>
  </si>
  <si>
    <t>Fumade</t>
  </si>
  <si>
    <t>Col de la Fumade</t>
  </si>
  <si>
    <t>202-165</t>
  </si>
  <si>
    <t>480-4755-08-45</t>
  </si>
  <si>
    <t>344-H05-053-115</t>
  </si>
  <si>
    <t>002°45'53.4"E</t>
  </si>
  <si>
    <t>42°59'17.2"N</t>
  </si>
  <si>
    <t>Topographie non conforme, "col" peut désigner ici une colline</t>
  </si>
  <si>
    <t>FR-11-0222</t>
  </si>
  <si>
    <t>Le col de ~</t>
  </si>
  <si>
    <t>Fourniéro</t>
  </si>
  <si>
    <t>Le col de Fourniéro</t>
  </si>
  <si>
    <t>2346E</t>
  </si>
  <si>
    <t>(103)-165</t>
  </si>
  <si>
    <t>450-4775-04-47</t>
  </si>
  <si>
    <t>344-F03-031-001</t>
  </si>
  <si>
    <t>D42</t>
  </si>
  <si>
    <t>002°23'22.9"E</t>
  </si>
  <si>
    <t>43°10'05.8"N</t>
  </si>
  <si>
    <t>FR-11-0225a</t>
  </si>
  <si>
    <t>Col del ~</t>
  </si>
  <si>
    <t>Prat</t>
  </si>
  <si>
    <t>Col del Prat</t>
  </si>
  <si>
    <t>2346O</t>
  </si>
  <si>
    <t>Désigne plutôt un sommet de plus la typographie utilisée sur la carte IGN n'est pas celle habituellment utilisée pour un col.</t>
  </si>
  <si>
    <t>FR-48-0908</t>
  </si>
  <si>
    <t>Saint-Rome-de-Dolan</t>
  </si>
  <si>
    <t>Col de Saint-Rome-de-Dolan</t>
  </si>
  <si>
    <t>2540E</t>
  </si>
  <si>
    <t>264-198</t>
  </si>
  <si>
    <t>515-4900-16-28</t>
  </si>
  <si>
    <t>330-H09-022-083</t>
  </si>
  <si>
    <t>D995/R</t>
  </si>
  <si>
    <t>003°12'31.0"E</t>
  </si>
  <si>
    <t>44°16'42.5"N</t>
  </si>
  <si>
    <t>002°18'50.3"E</t>
  </si>
  <si>
    <t>FR-11-0324</t>
  </si>
  <si>
    <t>Mayreville</t>
  </si>
  <si>
    <t>Col de Mayreville</t>
  </si>
  <si>
    <t>2245O</t>
  </si>
  <si>
    <t>034-(167)</t>
  </si>
  <si>
    <t>405-4785-07-19</t>
  </si>
  <si>
    <t>344-C03-003-047</t>
  </si>
  <si>
    <t>D625/D247</t>
  </si>
  <si>
    <t>001°50'20.2"E</t>
  </si>
  <si>
    <t>43°13'45.6"N</t>
  </si>
  <si>
    <t>Col créé de toute pièce. sans référence locale. Contredit l'art. 4 de la règle du jeu.</t>
  </si>
  <si>
    <t>FR-11-0325</t>
  </si>
  <si>
    <t>Vieille</t>
  </si>
  <si>
    <t>Pas de la Vieille</t>
  </si>
  <si>
    <t>267-000</t>
  </si>
  <si>
    <t>455-4760-30-32</t>
  </si>
  <si>
    <t>002°29'03.9"E</t>
  </si>
  <si>
    <t>43°01'12.9"N</t>
  </si>
  <si>
    <t>Ce pas désigne plutôt le passage étroit dans la vallée.</t>
  </si>
  <si>
    <t>FR-11-0330</t>
  </si>
  <si>
    <t>Col</t>
  </si>
  <si>
    <t>2246E</t>
  </si>
  <si>
    <t>227-043</t>
  </si>
  <si>
    <t>420-4765-48-28</t>
  </si>
  <si>
    <t>344-D04-041-044</t>
  </si>
  <si>
    <t>CV(N). R1(S)</t>
  </si>
  <si>
    <t>002°04'33.5"E</t>
  </si>
  <si>
    <t>43°03'32.4"N</t>
  </si>
  <si>
    <t>La carte IGN. la Bdnyme et le cadastre indiquent une vallée.</t>
  </si>
  <si>
    <t>FR-11-0335</t>
  </si>
  <si>
    <t xml:space="preserve"> Col de ~</t>
  </si>
  <si>
    <t>Matoual</t>
  </si>
  <si>
    <t>Col de Matoual</t>
  </si>
  <si>
    <t>263-106</t>
  </si>
  <si>
    <t>485-4750-19-36</t>
  </si>
  <si>
    <t>002°50'21.0"E</t>
  </si>
  <si>
    <t>42°56'06.2"N</t>
  </si>
  <si>
    <t>Trop d'incertitudes sur la position</t>
  </si>
  <si>
    <t>FR-11-0365a</t>
  </si>
  <si>
    <t>le Pas d'al ~</t>
  </si>
  <si>
    <t>Bosc</t>
  </si>
  <si>
    <t>le Pas d'al Bosc</t>
  </si>
  <si>
    <t>178-082</t>
  </si>
  <si>
    <t>415-4770-49-17</t>
  </si>
  <si>
    <t>002°00'57.5"E</t>
  </si>
  <si>
    <t>43°05'38.7"N</t>
  </si>
  <si>
    <t>FR-11-0380</t>
  </si>
  <si>
    <t>el Morou</t>
  </si>
  <si>
    <t>Le Pas d'el Morou</t>
  </si>
  <si>
    <t>166-111</t>
  </si>
  <si>
    <t>415-4770-37-46</t>
  </si>
  <si>
    <t>344-D04-000-089</t>
  </si>
  <si>
    <t>D463</t>
  </si>
  <si>
    <t>002°00'01.7"E</t>
  </si>
  <si>
    <t>43°07'12.1"N</t>
  </si>
  <si>
    <t>FR-11-0415a</t>
  </si>
  <si>
    <t>Coutious</t>
  </si>
  <si>
    <t>Col des Coutious</t>
  </si>
  <si>
    <t>123-121</t>
  </si>
  <si>
    <t>440-4755-35-04</t>
  </si>
  <si>
    <t>002°18'24.9"E</t>
  </si>
  <si>
    <t>Difficile de voir ici un col topographique.</t>
  </si>
  <si>
    <t>FR-11-0425</t>
  </si>
  <si>
    <t>Auzine</t>
  </si>
  <si>
    <t>Pas de l'Auzine</t>
  </si>
  <si>
    <t>006-010</t>
  </si>
  <si>
    <t>460-4760-13-42</t>
  </si>
  <si>
    <t>S2-3-4</t>
  </si>
  <si>
    <t>002°31'28.5"E</t>
  </si>
  <si>
    <t>43°01'45.7"N</t>
  </si>
  <si>
    <t>FR-11-0449</t>
  </si>
  <si>
    <t>Roque</t>
  </si>
  <si>
    <t>Pas de la Roque</t>
  </si>
  <si>
    <t>(178)-066</t>
  </si>
  <si>
    <t>440-4745-27-48</t>
  </si>
  <si>
    <t>344-E05-072-049</t>
  </si>
  <si>
    <t>002°17'53.7"E</t>
  </si>
  <si>
    <t>42°53'56.8"N</t>
  </si>
  <si>
    <t>Il s'agit d'un défilé et non d'un col.</t>
  </si>
  <si>
    <t>FR-11-0459</t>
  </si>
  <si>
    <t>Trou de las ~</t>
  </si>
  <si>
    <t>Mandros</t>
  </si>
  <si>
    <t>Trou de las Mandros</t>
  </si>
  <si>
    <t>188-059</t>
  </si>
  <si>
    <t>420-4765-09-44</t>
  </si>
  <si>
    <t>002°01'40.2"E</t>
  </si>
  <si>
    <t>43°04'22.8"N</t>
  </si>
  <si>
    <t>Désigne plutôt la combe. Trou est un intitulé inconnu dans ce département pour désigner un col.</t>
  </si>
  <si>
    <t>FR-11-0729</t>
  </si>
  <si>
    <t>Escudiés</t>
  </si>
  <si>
    <t>Col des Escudiés</t>
  </si>
  <si>
    <t>(173)-020</t>
  </si>
  <si>
    <t>440-4745-32-03</t>
  </si>
  <si>
    <t>344-E05-075-018</t>
  </si>
  <si>
    <t>D46</t>
  </si>
  <si>
    <t>002°18'17.8"E</t>
  </si>
  <si>
    <t>42°51'28.0"N</t>
  </si>
  <si>
    <t>Le col des Escudiés est situé à environ 500m au SO. Le panneau routier sur la D46 est abusif.</t>
  </si>
  <si>
    <t>FR-11-0778</t>
  </si>
  <si>
    <t>Sales</t>
  </si>
  <si>
    <t>Col de Sales</t>
  </si>
  <si>
    <t>2444O</t>
  </si>
  <si>
    <t>073-063</t>
  </si>
  <si>
    <t>465-4805-32-44</t>
  </si>
  <si>
    <t>344-G02-058-077</t>
  </si>
  <si>
    <t>D88/D920</t>
  </si>
  <si>
    <t>002°36'26.7"E</t>
  </si>
  <si>
    <t>43°26'12.1"N</t>
  </si>
  <si>
    <t>Fond de vallée. il ne s'agit pas d'un col.</t>
  </si>
  <si>
    <t>FR-11-0810</t>
  </si>
  <si>
    <t>Pas del ~</t>
  </si>
  <si>
    <t>Tréou</t>
  </si>
  <si>
    <t>Pas del Tréou</t>
  </si>
  <si>
    <t>2348O</t>
  </si>
  <si>
    <t>(238)-091</t>
  </si>
  <si>
    <t>435-4730-17-24</t>
  </si>
  <si>
    <t>002°13'33.9"E</t>
  </si>
  <si>
    <t>42°44'30.0"N</t>
  </si>
  <si>
    <t>Bien qu'inscrit sur une carte (TOP25 de l'IGN) ce "pas" ne dispose pas de caractères topographiques suffisants</t>
  </si>
  <si>
    <t>FR-11-0810a</t>
  </si>
  <si>
    <t>Trou de la ~</t>
  </si>
  <si>
    <t>Relhe</t>
  </si>
  <si>
    <t>Trou de la Relhe</t>
  </si>
  <si>
    <t>2347E</t>
  </si>
  <si>
    <t>(085)-060</t>
  </si>
  <si>
    <t>450-4745-20-42</t>
  </si>
  <si>
    <t>002°24'42.9"E</t>
  </si>
  <si>
    <t>42°53'38.1"N</t>
  </si>
  <si>
    <t>1998 - N°26</t>
  </si>
  <si>
    <t>Il ne s'agit pas d'un col mais d'une dépression karstique</t>
  </si>
  <si>
    <t>FR-11-0835a</t>
  </si>
  <si>
    <t>Le Pas du ~</t>
  </si>
  <si>
    <t>Rieu</t>
  </si>
  <si>
    <t>Le Pas du Rieu</t>
  </si>
  <si>
    <t>2344O</t>
  </si>
  <si>
    <t>082-085</t>
  </si>
  <si>
    <t>435-4810-50-18</t>
  </si>
  <si>
    <t>344-E02-049-092</t>
  </si>
  <si>
    <t>D101. GR7</t>
  </si>
  <si>
    <t>FR-81</t>
  </si>
  <si>
    <t>002°15'28.6"E</t>
  </si>
  <si>
    <t>43°27'24.0"N</t>
  </si>
  <si>
    <t>Passage de ruisseau. comme son nom l'indique et comme le confirme la topographie.</t>
  </si>
  <si>
    <t>FR-11-0899</t>
  </si>
  <si>
    <t>Rec</t>
  </si>
  <si>
    <t xml:space="preserve">Pas del Rec </t>
  </si>
  <si>
    <t>(222)-082</t>
  </si>
  <si>
    <t>435-4730-32-15</t>
  </si>
  <si>
    <t>002°14'43.0"E</t>
  </si>
  <si>
    <t>42°44'00.2"N</t>
  </si>
  <si>
    <t>Bien qu'inscrit sur une carte (TOP25 de l'IGN) ce "pas" ne dispose pas de caractères topographiques d'un col. Il s'agit d'un fond de vallée.</t>
  </si>
  <si>
    <t>FR-11-0929</t>
  </si>
  <si>
    <t>Quière</t>
  </si>
  <si>
    <t>Col de la Quière</t>
  </si>
  <si>
    <t>017-170</t>
  </si>
  <si>
    <t>430-4740-28-04</t>
  </si>
  <si>
    <t>344-E06-006-109</t>
  </si>
  <si>
    <t>D83</t>
  </si>
  <si>
    <t>002°10'38.7"E</t>
  </si>
  <si>
    <t>42°48'47.2"N</t>
  </si>
  <si>
    <t>FR-11-1015b</t>
  </si>
  <si>
    <t>Col den ~</t>
  </si>
  <si>
    <t>Bergé</t>
  </si>
  <si>
    <t>Col den Bergé</t>
  </si>
  <si>
    <t>131-192</t>
  </si>
  <si>
    <t>410-4740-47-28</t>
  </si>
  <si>
    <t>001°57'23.1"E</t>
  </si>
  <si>
    <t>42°49'59.6"N</t>
  </si>
  <si>
    <t>Correspond à un fond de vallon. Pas de LPE</t>
  </si>
  <si>
    <t>FR-11-1020a</t>
  </si>
  <si>
    <t>Couillade de ~</t>
  </si>
  <si>
    <t>Petintel</t>
  </si>
  <si>
    <t>Couillade de Petintel</t>
  </si>
  <si>
    <t>232-107</t>
  </si>
  <si>
    <t>420-4730-47-42</t>
  </si>
  <si>
    <t>002°04'49.3"E</t>
  </si>
  <si>
    <t>42°45'23.3"N</t>
  </si>
  <si>
    <t>FR-11-1315</t>
  </si>
  <si>
    <t>070-196</t>
  </si>
  <si>
    <t>405-4740-36-33</t>
  </si>
  <si>
    <t>001°52'55.0"E</t>
  </si>
  <si>
    <t>42°50'11.0"N</t>
  </si>
  <si>
    <t>Simple lieu-dit. pas de caractères topographiques d'un col.</t>
  </si>
  <si>
    <t>FR-11-1386</t>
  </si>
  <si>
    <t>Clot du ~</t>
  </si>
  <si>
    <t>Souil</t>
  </si>
  <si>
    <t>Clot du Souil</t>
  </si>
  <si>
    <t>145-149</t>
  </si>
  <si>
    <t>415-4735-11-35</t>
  </si>
  <si>
    <t>001°58'24.7"E</t>
  </si>
  <si>
    <t>42°47'38.9"N</t>
  </si>
  <si>
    <t>Clot n'est pas un intitulé signifiant col.</t>
  </si>
  <si>
    <t>FR-11-1765</t>
  </si>
  <si>
    <t>Bas du ~</t>
  </si>
  <si>
    <t>Col de Jau</t>
  </si>
  <si>
    <t>Bas du Col de Jau</t>
  </si>
  <si>
    <t>(212)-043</t>
  </si>
  <si>
    <t>435-4725-42-27</t>
  </si>
  <si>
    <t>002°15'27.6"E</t>
  </si>
  <si>
    <t>42°41'56.5"N</t>
  </si>
  <si>
    <t>La typo n'est pas celle employée pour indiquer un col. Il s'agit de "RAS del coll de Jau" (l'alpage du col de Jau). Un secteur nommé et non un point précis. On s'éloigne de la notion de col.</t>
  </si>
  <si>
    <t>FR-11-1806</t>
  </si>
  <si>
    <t>Les ~</t>
  </si>
  <si>
    <t>Couillades</t>
  </si>
  <si>
    <t>Les Couillades</t>
  </si>
  <si>
    <t>182-101</t>
  </si>
  <si>
    <t>415-4730-47-36</t>
  </si>
  <si>
    <t>002°01'09.7"E</t>
  </si>
  <si>
    <t>42°45'03.2"N</t>
  </si>
  <si>
    <t>Pas de col à l'emplacement de ce toponyme sur la carte. Il s'agit d'un sommet.</t>
  </si>
  <si>
    <t>FR-12-0300</t>
  </si>
  <si>
    <t>Estaques</t>
  </si>
  <si>
    <t>Col des Estaques</t>
  </si>
  <si>
    <t>2338O</t>
  </si>
  <si>
    <t>069-129</t>
  </si>
  <si>
    <t>440-4935-00-12</t>
  </si>
  <si>
    <t>338-F03-041-057</t>
  </si>
  <si>
    <t>D963</t>
  </si>
  <si>
    <t>002°14'39.4"E</t>
  </si>
  <si>
    <t>44°34'34.6"N</t>
  </si>
  <si>
    <t>Col créé de toute pièce dans un but touristique. pas de référence locale.Contredit l'art. 4 de la règle du jeu.</t>
  </si>
  <si>
    <t>FR-12-0365</t>
  </si>
  <si>
    <t>2337E</t>
  </si>
  <si>
    <t>152-001</t>
  </si>
  <si>
    <t>445-4940-34-33</t>
  </si>
  <si>
    <t>002°20'57.0"E</t>
  </si>
  <si>
    <t>44°38'27.6"N</t>
  </si>
  <si>
    <t>La localisation est imprécise. Le Coulet pourrait désigner la vallée ou son franchissement grâce à une île.</t>
  </si>
  <si>
    <t>FR-12-0380</t>
  </si>
  <si>
    <t>Pas ~</t>
  </si>
  <si>
    <t>Redon</t>
  </si>
  <si>
    <t>Pas Redon</t>
  </si>
  <si>
    <t>2438O</t>
  </si>
  <si>
    <t>106-073</t>
  </si>
  <si>
    <t>470-4930-22-03</t>
  </si>
  <si>
    <t>338-H03-080-019</t>
  </si>
  <si>
    <t>002°39'01.1"E</t>
  </si>
  <si>
    <t>44°31'30.9"N</t>
  </si>
  <si>
    <t>Nomme un lieu habité sans caractère topographique marqué.</t>
  </si>
  <si>
    <t>FR-12-0498</t>
  </si>
  <si>
    <t>Laumel</t>
  </si>
  <si>
    <t>Col de Laumel</t>
  </si>
  <si>
    <t>2238E</t>
  </si>
  <si>
    <t>270-029</t>
  </si>
  <si>
    <t>430-4925-14-12</t>
  </si>
  <si>
    <t>338-E04-072-113</t>
  </si>
  <si>
    <t>002°08'12.6"E</t>
  </si>
  <si>
    <t>Sommet nommé uniquement "col" sur un panneau artisanal et pas sur carte.</t>
  </si>
  <si>
    <t>FR-12-0499</t>
  </si>
  <si>
    <t>Col di ~</t>
  </si>
  <si>
    <t>Cabre</t>
  </si>
  <si>
    <t>Col di Cabre</t>
  </si>
  <si>
    <t>2339O</t>
  </si>
  <si>
    <t>(207)-195</t>
  </si>
  <si>
    <t>440-4920-08-27</t>
  </si>
  <si>
    <t>338-F04-047-090</t>
  </si>
  <si>
    <t>D658/D525</t>
  </si>
  <si>
    <t>002°15'19.6"E</t>
  </si>
  <si>
    <t>44°27'18.8"N</t>
  </si>
  <si>
    <t>FR-12-0556</t>
  </si>
  <si>
    <t>Mouret</t>
  </si>
  <si>
    <t>Pas de Mouret</t>
  </si>
  <si>
    <t>2437O</t>
  </si>
  <si>
    <t>084-053</t>
  </si>
  <si>
    <t>470-4945-01-33</t>
  </si>
  <si>
    <t>338-H02-065-015</t>
  </si>
  <si>
    <t>002°37'20.2"E</t>
  </si>
  <si>
    <t>44°41'14.7"N</t>
  </si>
  <si>
    <t>FR-12-0613</t>
  </si>
  <si>
    <t>Lauglanet</t>
  </si>
  <si>
    <t>Col de Lauglanet</t>
  </si>
  <si>
    <t>2542E</t>
  </si>
  <si>
    <t>169-183</t>
  </si>
  <si>
    <t>505-4860-20-13</t>
  </si>
  <si>
    <t>338-K07-047-053</t>
  </si>
  <si>
    <t>D93</t>
  </si>
  <si>
    <t>003°05'14.5"E</t>
  </si>
  <si>
    <t>43°54'16.8"N</t>
  </si>
  <si>
    <t>Source non reconnue</t>
  </si>
  <si>
    <t>FR-12-0636</t>
  </si>
  <si>
    <t>Perail</t>
  </si>
  <si>
    <t>Col du Perail</t>
  </si>
  <si>
    <t>201-128</t>
  </si>
  <si>
    <t>510-4855-02-08</t>
  </si>
  <si>
    <t>338-K07-068-017</t>
  </si>
  <si>
    <t>D93/R</t>
  </si>
  <si>
    <t>003°07'35.5"E</t>
  </si>
  <si>
    <t>43°51'20.2"N</t>
  </si>
  <si>
    <t>Panneau de provenance inconnue. Auncune trace de ce col sur d'autres sources.</t>
  </si>
  <si>
    <t>FR-12-0670</t>
  </si>
  <si>
    <t>107-142</t>
  </si>
  <si>
    <t>470-4935-24-22</t>
  </si>
  <si>
    <t>338-H03-080-065</t>
  </si>
  <si>
    <t>002°39'06.9"E</t>
  </si>
  <si>
    <t>44°35'16.1"N</t>
  </si>
  <si>
    <t>Pas les caractèristique topographique d'un col. désigne les habitations</t>
  </si>
  <si>
    <t>FR-12-0730a</t>
  </si>
  <si>
    <t>Estrecht</t>
  </si>
  <si>
    <t>Pas Estrecht</t>
  </si>
  <si>
    <t>274-137</t>
  </si>
  <si>
    <t>515-4855-25-17</t>
  </si>
  <si>
    <t>003°13'04.5"E</t>
  </si>
  <si>
    <t>43°51'48.3"N</t>
  </si>
  <si>
    <t>Pas de caractère topographique, comme son nom l'indique désigne un passage étroit</t>
  </si>
  <si>
    <t>FR-12-0805</t>
  </si>
  <si>
    <t>Trescol</t>
  </si>
  <si>
    <t>Le Trescol</t>
  </si>
  <si>
    <t>2641O</t>
  </si>
  <si>
    <t>115-(059)</t>
  </si>
  <si>
    <t>530-4875-05-21</t>
  </si>
  <si>
    <t>003°22'51.4"E</t>
  </si>
  <si>
    <t>44°02'47.3"N</t>
  </si>
  <si>
    <t>C'est le mont qui est nommé</t>
  </si>
  <si>
    <t>FR-12-1011</t>
  </si>
  <si>
    <t>Croix de ~</t>
  </si>
  <si>
    <t>Boudets</t>
  </si>
  <si>
    <t>Croix de Boudets</t>
  </si>
  <si>
    <t>2540O</t>
  </si>
  <si>
    <t>039-099</t>
  </si>
  <si>
    <t>490-4890-41-29</t>
  </si>
  <si>
    <t>338-J05-049-017</t>
  </si>
  <si>
    <t>D171</t>
  </si>
  <si>
    <t>002°55'32.4"E</t>
  </si>
  <si>
    <t>44°11'21.7"N</t>
  </si>
  <si>
    <t>Col topo non nommé explicitement</t>
  </si>
  <si>
    <t>FR-12-1119</t>
  </si>
  <si>
    <t>le Pas de l'~</t>
  </si>
  <si>
    <t>As</t>
  </si>
  <si>
    <t>le Pas de l'As</t>
  </si>
  <si>
    <t>2437E</t>
  </si>
  <si>
    <t>279-092</t>
  </si>
  <si>
    <t>485-4950-47-22</t>
  </si>
  <si>
    <t>338-J02-019-042</t>
  </si>
  <si>
    <t>D921</t>
  </si>
  <si>
    <t>002°52'10.4"E</t>
  </si>
  <si>
    <t>44°43'23.1"N</t>
  </si>
  <si>
    <t>Caractères topographiques peu marqués. Simple passage près d'un petit sommet.</t>
  </si>
  <si>
    <t>FR-13-0015</t>
  </si>
  <si>
    <t>Loche</t>
  </si>
  <si>
    <t>Pas de Loche</t>
  </si>
  <si>
    <t>3043O</t>
  </si>
  <si>
    <t>071-163</t>
  </si>
  <si>
    <t>640-4840-22-08</t>
  </si>
  <si>
    <t>340-D03-053-029</t>
  </si>
  <si>
    <t>004°45'54.0"E</t>
  </si>
  <si>
    <t>43°42'23.0"N</t>
  </si>
  <si>
    <t>Il s'agit d'un défilé (Voir Bdnyme de l'IGN)</t>
  </si>
  <si>
    <t>FR-13-0051</t>
  </si>
  <si>
    <t>Lapin</t>
  </si>
  <si>
    <t>Pas du Lapin</t>
  </si>
  <si>
    <t>3145E</t>
  </si>
  <si>
    <t>(033)-020</t>
  </si>
  <si>
    <t>690-4785-13-27</t>
  </si>
  <si>
    <t>005°21'20.0"E</t>
  </si>
  <si>
    <t>Nommé seulement sur carte OSM, source non reconnue, de plus topographie insuffisante</t>
  </si>
  <si>
    <t>FR-13-0085</t>
  </si>
  <si>
    <t>Edgard Garrigue</t>
  </si>
  <si>
    <t>Pas Edgard Garrigue</t>
  </si>
  <si>
    <t>(037)-024</t>
  </si>
  <si>
    <t>690-4785-10-31</t>
  </si>
  <si>
    <t>S5, GR-98-51</t>
  </si>
  <si>
    <t>005°21'06.0"E</t>
  </si>
  <si>
    <t>Seulement nommé par une inscription à la peinture, topographie douteuse</t>
  </si>
  <si>
    <t>FR-13-0126</t>
  </si>
  <si>
    <t>Lagarde</t>
  </si>
  <si>
    <t>Collet de Lagarde</t>
  </si>
  <si>
    <t>3143O</t>
  </si>
  <si>
    <t>009-012</t>
  </si>
  <si>
    <t>665-4825-04-13</t>
  </si>
  <si>
    <t>005°02'52.8"E</t>
  </si>
  <si>
    <t>43°34'15.3"N</t>
  </si>
  <si>
    <t>Il s'agit d'un sommet et non d'un col. "Collet" désigne dans la plupart des cas. un sommet dans les départements du sud de la France (vient du latin "collis" qui signifie colline)</t>
  </si>
  <si>
    <t>FR-13-0130</t>
  </si>
  <si>
    <t>Mas de Montfort</t>
  </si>
  <si>
    <t>Col du Mas de Montfort</t>
  </si>
  <si>
    <t>3042E</t>
  </si>
  <si>
    <t>196-009</t>
  </si>
  <si>
    <t>650-4845-46-07</t>
  </si>
  <si>
    <t>340-E03-047-061</t>
  </si>
  <si>
    <t>D24</t>
  </si>
  <si>
    <t>004°55'14.7"E</t>
  </si>
  <si>
    <t>43°44'54.2"N</t>
  </si>
  <si>
    <t>Pas de topographie correspondant à celle d'un col. Le document de référence n'est pas reconnu comme une source fiable par le Club.</t>
  </si>
  <si>
    <t>FR-13-0180b</t>
  </si>
  <si>
    <t>Bisquerle</t>
  </si>
  <si>
    <t>Coulet de Bisquerle</t>
  </si>
  <si>
    <t>3043E</t>
  </si>
  <si>
    <t>221-187</t>
  </si>
  <si>
    <t>655-4840-21-35</t>
  </si>
  <si>
    <t>004°57'04.2"E</t>
  </si>
  <si>
    <t>43°43'41.2"N</t>
  </si>
  <si>
    <t>FR-13-0230a</t>
  </si>
  <si>
    <t>3244E</t>
  </si>
  <si>
    <t>184-114</t>
  </si>
  <si>
    <t>710-4815-22-28</t>
  </si>
  <si>
    <t>340-I05-067-111</t>
  </si>
  <si>
    <t>D56c</t>
  </si>
  <si>
    <t>005°37'27.4"E</t>
  </si>
  <si>
    <t>43°28'57.6"N</t>
  </si>
  <si>
    <t>Bien qu'inscrit sur un panneau ce "pas" ne dispose pas de caractères topographiques suffisants. Collet désigne très souvent une colline dans les départements du S-E de la France.</t>
  </si>
  <si>
    <t>FR-13-0280</t>
  </si>
  <si>
    <t>Oeil de Verre</t>
  </si>
  <si>
    <t>Pas de l'Oeil de Verre</t>
  </si>
  <si>
    <t>3245O</t>
  </si>
  <si>
    <t>061-010</t>
  </si>
  <si>
    <t>700-4785-08-20</t>
  </si>
  <si>
    <t>S3-4</t>
  </si>
  <si>
    <t>005°28'19.0"E</t>
  </si>
  <si>
    <t>43°12'31.7"N</t>
  </si>
  <si>
    <t>2012 - N°40</t>
  </si>
  <si>
    <t>Passage délicat dans l'ascension d'une corniche.</t>
  </si>
  <si>
    <t>FR-13-0290a</t>
  </si>
  <si>
    <t>Collet Redon</t>
  </si>
  <si>
    <t>3143E</t>
  </si>
  <si>
    <t>216-085</t>
  </si>
  <si>
    <t>685-4830-11-42</t>
  </si>
  <si>
    <t>340-G04-076-102</t>
  </si>
  <si>
    <t>D18/CV</t>
  </si>
  <si>
    <t>005°18'26.8"E</t>
  </si>
  <si>
    <t>43°38'15.5"N</t>
  </si>
  <si>
    <t>Caractères topographiques peu marqués.</t>
  </si>
  <si>
    <t>FR-13-0330b</t>
  </si>
  <si>
    <t>Pas de Cabre</t>
  </si>
  <si>
    <t>(024)-026</t>
  </si>
  <si>
    <t>690-4785-22-33</t>
  </si>
  <si>
    <t>005°22'00.6"E</t>
  </si>
  <si>
    <t>Pas la topographie d'un col</t>
  </si>
  <si>
    <t>FR-13-0340</t>
  </si>
  <si>
    <t>Pin</t>
  </si>
  <si>
    <t>Pas du Pin</t>
  </si>
  <si>
    <t>(026)-022</t>
  </si>
  <si>
    <t>690-4785-20-30</t>
  </si>
  <si>
    <t>S5</t>
  </si>
  <si>
    <t>005°21'52.1"E</t>
  </si>
  <si>
    <t>Passage délicat, pas la topographie d'un col</t>
  </si>
  <si>
    <t>FR-13-0350</t>
  </si>
  <si>
    <t>Pas Supérieur de la ~</t>
  </si>
  <si>
    <t>Mélette</t>
  </si>
  <si>
    <t>Pas Supérieur de la Mélette</t>
  </si>
  <si>
    <t>(004)-020</t>
  </si>
  <si>
    <t>690-4785-43-28</t>
  </si>
  <si>
    <t>005°23'30.8"E</t>
  </si>
  <si>
    <t>Passage délicat dans la falaise, pas un col</t>
  </si>
  <si>
    <t>FR-13-0429</t>
  </si>
  <si>
    <t>Bèdes</t>
  </si>
  <si>
    <t>Col de Bèdes</t>
  </si>
  <si>
    <t>3243E</t>
  </si>
  <si>
    <t>227-125</t>
  </si>
  <si>
    <t>715-4835-09-40</t>
  </si>
  <si>
    <t>340-J03-006-004</t>
  </si>
  <si>
    <t>005°40'41.9"E</t>
  </si>
  <si>
    <t>43°40'21.6"N</t>
  </si>
  <si>
    <t>Le document de référence n'est pas reconnu comme une source fiable par le Club.</t>
  </si>
  <si>
    <t>FR-13-0456</t>
  </si>
  <si>
    <t>Brèche du ~</t>
  </si>
  <si>
    <t>Troncas</t>
  </si>
  <si>
    <t>Brèche du Troncas</t>
  </si>
  <si>
    <t>186-146</t>
  </si>
  <si>
    <t>710-4820-24-10</t>
  </si>
  <si>
    <t>005°37'37.6"E</t>
  </si>
  <si>
    <t>43°30'40.7"N</t>
  </si>
  <si>
    <t>FR-13-0509</t>
  </si>
  <si>
    <t>Pouchon</t>
  </si>
  <si>
    <t>Collet du Pouchon</t>
  </si>
  <si>
    <t>260-177</t>
  </si>
  <si>
    <t>715-4820-48-43</t>
  </si>
  <si>
    <t>005°43'12.2"E</t>
  </si>
  <si>
    <t>43°32'20.5"N</t>
  </si>
  <si>
    <t>Désigne une colline à 533 m selon la Bdnyme de l'IGN</t>
  </si>
  <si>
    <t>FR-13-0540</t>
  </si>
  <si>
    <t>Quatre Fers</t>
  </si>
  <si>
    <t>Pas des Quatre Fers</t>
  </si>
  <si>
    <t>125-146</t>
  </si>
  <si>
    <t>705-4800-19-08</t>
  </si>
  <si>
    <t>S4-GR</t>
  </si>
  <si>
    <t>005°33'05.6"E</t>
  </si>
  <si>
    <t>43°19'53.6"N</t>
  </si>
  <si>
    <t>Il s'agit d'un passage délicat sur le sentier balisé (position Bdnyme de l'IGN)</t>
  </si>
  <si>
    <t>FR-13-0630</t>
  </si>
  <si>
    <t>Garrigue</t>
  </si>
  <si>
    <t>Pas Garrigue</t>
  </si>
  <si>
    <t>120-152</t>
  </si>
  <si>
    <t>705-4800-13-14</t>
  </si>
  <si>
    <t>005°32'41.1"E</t>
  </si>
  <si>
    <t>43°20'12.6"N</t>
  </si>
  <si>
    <t>FR-13-0720</t>
  </si>
  <si>
    <t>Roubaud</t>
  </si>
  <si>
    <t>Pas de Roubaud</t>
  </si>
  <si>
    <t>3245E</t>
  </si>
  <si>
    <t>268-137</t>
  </si>
  <si>
    <t>720-4800-12-04</t>
  </si>
  <si>
    <t>005°43'40.9"E</t>
  </si>
  <si>
    <t>43°19'25.6"N</t>
  </si>
  <si>
    <t>FR-13-0961</t>
  </si>
  <si>
    <t>Selle de l'~</t>
  </si>
  <si>
    <t>Escandaou</t>
  </si>
  <si>
    <t>Selle de l'Escandaou</t>
  </si>
  <si>
    <t>247-121</t>
  </si>
  <si>
    <t>715-4795-41-36</t>
  </si>
  <si>
    <t>005°42'04.7"E</t>
  </si>
  <si>
    <t>43°18'31.5"N</t>
  </si>
  <si>
    <t>Nomme tout un secteur et non un point précis. (position Bdnyme de l'IGN) Il ne s'agit donc pas d'un col.</t>
  </si>
  <si>
    <t>FR-15-0550</t>
  </si>
  <si>
    <t>(061)-090</t>
  </si>
  <si>
    <t>455-4950-06-21</t>
  </si>
  <si>
    <t>330-C06-056-040</t>
  </si>
  <si>
    <t>D19</t>
  </si>
  <si>
    <t>002°26'21.2"E</t>
  </si>
  <si>
    <t>44°43'16.3"N</t>
  </si>
  <si>
    <t>FR-15-1213</t>
  </si>
  <si>
    <t>Tuilière</t>
  </si>
  <si>
    <t>Col de la Tuilière</t>
  </si>
  <si>
    <t>2435E</t>
  </si>
  <si>
    <t>239-156</t>
  </si>
  <si>
    <t>485-4995-10-36</t>
  </si>
  <si>
    <t>330-E04-081-104</t>
  </si>
  <si>
    <t>002°49'18.8"E</t>
  </si>
  <si>
    <t>45°08'26.0"N</t>
  </si>
  <si>
    <t>2003 - N°31</t>
  </si>
  <si>
    <t>Doublon avec FR-15-1210 col d'Entremont</t>
  </si>
  <si>
    <t>FR-15-1285</t>
  </si>
  <si>
    <t>Matte</t>
  </si>
  <si>
    <t>Col de la Matte</t>
  </si>
  <si>
    <t>2537O</t>
  </si>
  <si>
    <t>051-059</t>
  </si>
  <si>
    <t>495-4945-03-38</t>
  </si>
  <si>
    <t>330-F06-057-019</t>
  </si>
  <si>
    <t>D665</t>
  </si>
  <si>
    <t>002°56'28.5"E</t>
  </si>
  <si>
    <t>44°41'33.5"N</t>
  </si>
  <si>
    <t>Le nom de ce col n'apparaît que sur un panneau de déneigement qui est une source insuffisante. Ce genre de panneau n'a pas pour but d'indiquer un toponyme.</t>
  </si>
  <si>
    <t>FR-15-1480</t>
  </si>
  <si>
    <t>Rembertayre</t>
  </si>
  <si>
    <t>Col de Rembertayre</t>
  </si>
  <si>
    <t>191-085</t>
  </si>
  <si>
    <t>480-4990-11-14</t>
  </si>
  <si>
    <t>S, GR4</t>
  </si>
  <si>
    <t>002°45'33.5"E</t>
  </si>
  <si>
    <t>Nommé uniquement sur une carte postale source non reconnue</t>
  </si>
  <si>
    <t>FR-17-0125</t>
  </si>
  <si>
    <t>Fossé</t>
  </si>
  <si>
    <t>Pas du Fossé</t>
  </si>
  <si>
    <t>1630E</t>
  </si>
  <si>
    <t>156-051</t>
  </si>
  <si>
    <t>720-5090-00-19</t>
  </si>
  <si>
    <t>000°09'40.5"W</t>
  </si>
  <si>
    <t>45°56'44.9"N</t>
  </si>
  <si>
    <t>FR-19-0235</t>
  </si>
  <si>
    <t>Seuil</t>
  </si>
  <si>
    <t>Le Seuil</t>
  </si>
  <si>
    <t>2035E</t>
  </si>
  <si>
    <t>260-194</t>
  </si>
  <si>
    <t>370-5000-49-36</t>
  </si>
  <si>
    <t>329-J04-039-006</t>
  </si>
  <si>
    <t>D151</t>
  </si>
  <si>
    <t>001°24'29.1"E</t>
  </si>
  <si>
    <t>45°10'27.7"N</t>
  </si>
  <si>
    <t>Topographie très peu marquée. Désigne un groupe d'habitations</t>
  </si>
  <si>
    <t>FR-21-0313</t>
  </si>
  <si>
    <t>Pennevelle</t>
  </si>
  <si>
    <t>Col du Pennevelle</t>
  </si>
  <si>
    <t>2921E</t>
  </si>
  <si>
    <t>153-015</t>
  </si>
  <si>
    <t>610-5265-44-06</t>
  </si>
  <si>
    <t>320-H04-010-025</t>
  </si>
  <si>
    <t>D103j/D10</t>
  </si>
  <si>
    <t>004°31'11.6"E</t>
  </si>
  <si>
    <t>47°32'01.5"N</t>
  </si>
  <si>
    <t>Source jugée insuffisante (document archéologique)</t>
  </si>
  <si>
    <t>FR-21-0442</t>
  </si>
  <si>
    <t>Porte de ~</t>
  </si>
  <si>
    <t>Saint Germain</t>
  </si>
  <si>
    <t>Porte de Saint Germain</t>
  </si>
  <si>
    <t>3021E</t>
  </si>
  <si>
    <t>264-148</t>
  </si>
  <si>
    <t>650-5275-24-47</t>
  </si>
  <si>
    <t>R-GR7</t>
  </si>
  <si>
    <t>005°01'45.4"E</t>
  </si>
  <si>
    <t>47°39'11.3"N</t>
  </si>
  <si>
    <t>Topographie correcte. mais ce terme désigne ici une porte dans le mur d'enceinte du parc du château de Grancey tout comme la porte des Chanoines</t>
  </si>
  <si>
    <t>FR-21-0460</t>
  </si>
  <si>
    <t>Saint Martin</t>
  </si>
  <si>
    <t>Pas Saint Martin</t>
  </si>
  <si>
    <t>3024O</t>
  </si>
  <si>
    <t>059-078</t>
  </si>
  <si>
    <t>630-5210-32-22</t>
  </si>
  <si>
    <t>320-I07-044-037</t>
  </si>
  <si>
    <t>D23/S. GR7</t>
  </si>
  <si>
    <t>004°45'14.2"E</t>
  </si>
  <si>
    <t>47°03'01.1"N</t>
  </si>
  <si>
    <t>Nom du défilé.</t>
  </si>
  <si>
    <t>FR-21-0485</t>
  </si>
  <si>
    <t>Bochot</t>
  </si>
  <si>
    <t>Col du Bochot</t>
  </si>
  <si>
    <t>2923O</t>
  </si>
  <si>
    <t>094-064</t>
  </si>
  <si>
    <t>605-5230-41-03</t>
  </si>
  <si>
    <t>320-G06-054-038</t>
  </si>
  <si>
    <t>D115a/D36</t>
  </si>
  <si>
    <t>004°26'27.7"E</t>
  </si>
  <si>
    <t>47°13'02.5"N</t>
  </si>
  <si>
    <t>Dénomination col basée uniquement la tradition orale sans qu' aucun document ne vienne l'étayer</t>
  </si>
  <si>
    <t>FR-21-0518</t>
  </si>
  <si>
    <t>Croix Vermont</t>
  </si>
  <si>
    <t>Col de la Croix Vermont</t>
  </si>
  <si>
    <t>2824E</t>
  </si>
  <si>
    <t>261-141</t>
  </si>
  <si>
    <t>595-5215-38-29</t>
  </si>
  <si>
    <t>320-F07-068-080</t>
  </si>
  <si>
    <t>CV/CV</t>
  </si>
  <si>
    <t>004°18'07.1"E</t>
  </si>
  <si>
    <t>FR-21-0698</t>
  </si>
  <si>
    <t>Croix de Chèvre</t>
  </si>
  <si>
    <t>Col de la Croix de Chèvre</t>
  </si>
  <si>
    <t>2824O</t>
  </si>
  <si>
    <t>125-168</t>
  </si>
  <si>
    <t>585-5220-01-03</t>
  </si>
  <si>
    <t>320-E07-062-097</t>
  </si>
  <si>
    <t>D302/GRP Tour du Morvan</t>
  </si>
  <si>
    <t>004°07'19.6"E</t>
  </si>
  <si>
    <t>47°07'50.8"N</t>
  </si>
  <si>
    <t>Lieu-dit nommé "col". Aucune référence sur carte ou cadastre. Non nommé "col" localement. Contredit l'art. 4 de la règle du jeu.</t>
  </si>
  <si>
    <t>FR-22-0030</t>
  </si>
  <si>
    <t>Testrignel</t>
  </si>
  <si>
    <t>Col de Testrignel</t>
  </si>
  <si>
    <t>0714O</t>
  </si>
  <si>
    <t>127-041</t>
  </si>
  <si>
    <t>465-5405-34-22</t>
  </si>
  <si>
    <t>309-B02-034-112</t>
  </si>
  <si>
    <t>003°25'50.2"W</t>
  </si>
  <si>
    <t>48°49'01.2"N</t>
  </si>
  <si>
    <t>Une carte postale n'est pas une source reconnue</t>
  </si>
  <si>
    <t>FR-22-0277</t>
  </si>
  <si>
    <t>Clarté</t>
  </si>
  <si>
    <t>Col de la Clarté</t>
  </si>
  <si>
    <t>0817O</t>
  </si>
  <si>
    <t>114-166</t>
  </si>
  <si>
    <t>490-5355-34-45</t>
  </si>
  <si>
    <t>309-D04-038-041</t>
  </si>
  <si>
    <t>D767</t>
  </si>
  <si>
    <t>003°05'22.3"W</t>
  </si>
  <si>
    <t>48°23'20.6"N</t>
  </si>
  <si>
    <t>Col créé de toute pièce. sans référence locale. Contredit l'art. 4 de la règle du jeu. Voir: http://www.cyclo-tourisme.com/dossiers/dossiers.php?id_dossier=217</t>
  </si>
  <si>
    <t>FR-22-0278</t>
  </si>
  <si>
    <t>Marhalla</t>
  </si>
  <si>
    <t>Col de Marhalla</t>
  </si>
  <si>
    <t>0816E</t>
  </si>
  <si>
    <t>186-074</t>
  </si>
  <si>
    <t>500-5370-06-04</t>
  </si>
  <si>
    <t>309-E04-004-114</t>
  </si>
  <si>
    <t>002°59'29.8"W</t>
  </si>
  <si>
    <t>48°29'12.8"N</t>
  </si>
  <si>
    <t>FR-22-0290</t>
  </si>
  <si>
    <t>Roc'h C'hlas Vihan</t>
  </si>
  <si>
    <t>Col de Roc'h C'hlas Vihan</t>
  </si>
  <si>
    <t>025-191</t>
  </si>
  <si>
    <t>480-5360-44-21</t>
  </si>
  <si>
    <t>309-C04-061-058</t>
  </si>
  <si>
    <t>D8</t>
  </si>
  <si>
    <t>003°12'37.6"W</t>
  </si>
  <si>
    <t>48°24'42.9"N</t>
  </si>
  <si>
    <t>FR-22-0322</t>
  </si>
  <si>
    <t>Lanfains</t>
  </si>
  <si>
    <t>Col de Lanfains</t>
  </si>
  <si>
    <t>0817E</t>
  </si>
  <si>
    <t>245-135</t>
  </si>
  <si>
    <t>505-5355-15-15</t>
  </si>
  <si>
    <t>309-E04-043-021</t>
  </si>
  <si>
    <t>D7b</t>
  </si>
  <si>
    <t>002°54'43.8"W</t>
  </si>
  <si>
    <t>48°21'42.2"N</t>
  </si>
  <si>
    <t>FR-22-0336</t>
  </si>
  <si>
    <t>Mont Bel-Air</t>
  </si>
  <si>
    <t>Col du Mont Bel-Air</t>
  </si>
  <si>
    <t>0917E</t>
  </si>
  <si>
    <t>222-(108)</t>
  </si>
  <si>
    <t>530-5350-09-22</t>
  </si>
  <si>
    <t>309-G05-041-116</t>
  </si>
  <si>
    <t>002°35'00.0"W</t>
  </si>
  <si>
    <t>48°19'20.4"N</t>
  </si>
  <si>
    <t>Col créé de toute pièce. sans référence locale. Contredit l'art. 4 de la règle du jeu. Pas de caractère topographique. il s'agit d'un sommet.</t>
  </si>
  <si>
    <t>FR-23-0561</t>
  </si>
  <si>
    <t>Peyroux</t>
  </si>
  <si>
    <t>Col du Peyroux</t>
  </si>
  <si>
    <t>2129E</t>
  </si>
  <si>
    <t>255-166</t>
  </si>
  <si>
    <t>405-5120-00-03</t>
  </si>
  <si>
    <t>325-H03-052-047</t>
  </si>
  <si>
    <t>D22</t>
  </si>
  <si>
    <t>001°46'05.8"E</t>
  </si>
  <si>
    <t>46°13'47.0"N</t>
  </si>
  <si>
    <t>FR-24-0105</t>
  </si>
  <si>
    <t>Le Pas de ~</t>
  </si>
  <si>
    <t>Celles</t>
  </si>
  <si>
    <t>Le Pas de Celles</t>
  </si>
  <si>
    <t>1834O</t>
  </si>
  <si>
    <t>026-154</t>
  </si>
  <si>
    <t>295-5020-04-16</t>
  </si>
  <si>
    <t>329-D04-029-113</t>
  </si>
  <si>
    <t>000°23'21.9"E</t>
  </si>
  <si>
    <t>45°19'06.4"N</t>
  </si>
  <si>
    <t>Ce Pas se situe en fond de vallée et donc non conforme.</t>
  </si>
  <si>
    <t>FR-24-0166</t>
  </si>
  <si>
    <t>La Croix du Courret</t>
  </si>
  <si>
    <t>037-167</t>
  </si>
  <si>
    <t>295-5020-16-29</t>
  </si>
  <si>
    <t>329-D04-037-121</t>
  </si>
  <si>
    <t>000°24'14.1"E</t>
  </si>
  <si>
    <t>45°19'48.0"N</t>
  </si>
  <si>
    <t>Désigne un lieu habité et la colline.</t>
  </si>
  <si>
    <t>FR-24-0176</t>
  </si>
  <si>
    <t>Portail</t>
  </si>
  <si>
    <t>1934E</t>
  </si>
  <si>
    <t>262-091</t>
  </si>
  <si>
    <t>345-5010-21-39</t>
  </si>
  <si>
    <t>329-H04-027-071</t>
  </si>
  <si>
    <t>001°03'04.6"E</t>
  </si>
  <si>
    <t>45°15'42.7"N</t>
  </si>
  <si>
    <t>Nom d'un lieu dit habité. rien n'indique que la notion de col soit présente</t>
  </si>
  <si>
    <t>FR-24-0258</t>
  </si>
  <si>
    <t>Lagrange</t>
  </si>
  <si>
    <t>Col de Lagrange</t>
  </si>
  <si>
    <t>202-082</t>
  </si>
  <si>
    <t>340-5010-10-31</t>
  </si>
  <si>
    <t>329-G04-074-065</t>
  </si>
  <si>
    <t>000°58'27.0"E</t>
  </si>
  <si>
    <t>45°15'13.5"N</t>
  </si>
  <si>
    <t>Col créé sans référence locale en vue de la SF de Périgueux.</t>
  </si>
  <si>
    <t>FR-25-0467</t>
  </si>
  <si>
    <t>Grande Côte</t>
  </si>
  <si>
    <t>Col de la Grande Côte</t>
  </si>
  <si>
    <t>3422O</t>
  </si>
  <si>
    <t>002-001</t>
  </si>
  <si>
    <t>280-5245-24-21</t>
  </si>
  <si>
    <t>321-G02-060-006</t>
  </si>
  <si>
    <t>D138</t>
  </si>
  <si>
    <t>006°07'08.0"E</t>
  </si>
  <si>
    <t>47°20'26.9"N</t>
  </si>
  <si>
    <t>FR-25-0778</t>
  </si>
  <si>
    <t>Roches</t>
  </si>
  <si>
    <t>Col des Roches</t>
  </si>
  <si>
    <t>3425O</t>
  </si>
  <si>
    <t>110-164</t>
  </si>
  <si>
    <t>290-5200-16-30</t>
  </si>
  <si>
    <t>321-H05-048-085</t>
  </si>
  <si>
    <t>D6</t>
  </si>
  <si>
    <t>006°15'42.3"E</t>
  </si>
  <si>
    <t>46°56'51.1"N</t>
  </si>
  <si>
    <t>Pas de caractères topographiques d'un col.</t>
  </si>
  <si>
    <t>FR-25-0891</t>
  </si>
  <si>
    <t>Le Col ~</t>
  </si>
  <si>
    <t>France</t>
  </si>
  <si>
    <t>Le Col France</t>
  </si>
  <si>
    <t>3524E</t>
  </si>
  <si>
    <t>176-082</t>
  </si>
  <si>
    <t>325-5210-10-36</t>
  </si>
  <si>
    <t>321-K04-021-040</t>
  </si>
  <si>
    <t>N461</t>
  </si>
  <si>
    <t>006°42'32.8"E</t>
  </si>
  <si>
    <t>47°03'12.3"N</t>
  </si>
  <si>
    <t>Pas de caractères topographiques d'un col. La typographie n'est pas celle utilisée pour indiquer un col.</t>
  </si>
  <si>
    <t>FR-25-0919</t>
  </si>
  <si>
    <t>184-079</t>
  </si>
  <si>
    <t>325-5210-18-34</t>
  </si>
  <si>
    <t>321-K04-027-038</t>
  </si>
  <si>
    <t>D461</t>
  </si>
  <si>
    <t>006°43'12.7"E</t>
  </si>
  <si>
    <t>47°03'04.3"N</t>
  </si>
  <si>
    <t>Le point haut: 919m est situé en Suisse.</t>
  </si>
  <si>
    <t>FR-25-0963</t>
  </si>
  <si>
    <t>sur le Mont</t>
  </si>
  <si>
    <t>Col sur le Mont</t>
  </si>
  <si>
    <t>3524O</t>
  </si>
  <si>
    <t>045-038</t>
  </si>
  <si>
    <t>310-5205-27-47</t>
  </si>
  <si>
    <t>321-J04-018-011</t>
  </si>
  <si>
    <t>006°32'09.5"E</t>
  </si>
  <si>
    <t>47°00'51.1"N</t>
  </si>
  <si>
    <t>Création ex-nihilo.</t>
  </si>
  <si>
    <t>FR-25-1201</t>
  </si>
  <si>
    <t>Châteleu</t>
  </si>
  <si>
    <t>Col du Châteleu</t>
  </si>
  <si>
    <t>086-015</t>
  </si>
  <si>
    <t>315-5205-18-22</t>
  </si>
  <si>
    <t>321-J05-046-119</t>
  </si>
  <si>
    <t>D447/GR5</t>
  </si>
  <si>
    <t>006°35'24.1"E</t>
  </si>
  <si>
    <t>46°59'34.9"N</t>
  </si>
  <si>
    <t>Panneau bricolé et à l'interieur d'une propriété.</t>
  </si>
  <si>
    <t>FR-26-0234</t>
  </si>
  <si>
    <t>Deux Serres</t>
  </si>
  <si>
    <t>Col des Deux Serres</t>
  </si>
  <si>
    <t>3037E</t>
  </si>
  <si>
    <t>237-143</t>
  </si>
  <si>
    <t>655-4955-15-42</t>
  </si>
  <si>
    <t>332-C05-076-076</t>
  </si>
  <si>
    <t>D509</t>
  </si>
  <si>
    <t>004°58'38.8"E</t>
  </si>
  <si>
    <t>44°46'07.3"N</t>
  </si>
  <si>
    <t>Col créé de toute pièce. sans référence locale. par les organisateurs de la SF de Crest. Contredit l'art. 4 de la règle du jeu.</t>
  </si>
  <si>
    <t>FR-26-0334</t>
  </si>
  <si>
    <t>Tramelas</t>
  </si>
  <si>
    <t>Col de Tramelas</t>
  </si>
  <si>
    <t>3137O</t>
  </si>
  <si>
    <t>022-120</t>
  </si>
  <si>
    <t>660-4955-34-21</t>
  </si>
  <si>
    <t>005°03'51.8"E</t>
  </si>
  <si>
    <t>44°44'53.5"N</t>
  </si>
  <si>
    <t>Sources insuffisantes. Seul un guide de randonnée cite ce col.</t>
  </si>
  <si>
    <t>FR-26-0371</t>
  </si>
  <si>
    <t>Eric</t>
  </si>
  <si>
    <t>Col d'Eric</t>
  </si>
  <si>
    <t>3139O</t>
  </si>
  <si>
    <t>068-011</t>
  </si>
  <si>
    <t>665-4905-43-12</t>
  </si>
  <si>
    <t>332-D08-065-091</t>
  </si>
  <si>
    <t>005°07'18.8"E</t>
  </si>
  <si>
    <t>44°17'22.8"N</t>
  </si>
  <si>
    <t>Panneau douteux ressemblant à un panneau DDE mais posé sur un arbre. Forte suspicion de canular</t>
  </si>
  <si>
    <t>FR-26-0410a</t>
  </si>
  <si>
    <t>Saint-Marcel</t>
  </si>
  <si>
    <t xml:space="preserve">Col de Saint Marcel </t>
  </si>
  <si>
    <t>3137E</t>
  </si>
  <si>
    <t>264-127</t>
  </si>
  <si>
    <t>685-4955-27-34</t>
  </si>
  <si>
    <t>332-F05-020-065</t>
  </si>
  <si>
    <t>005°22'15.7"E</t>
  </si>
  <si>
    <t>44°45'15.3"N</t>
  </si>
  <si>
    <t>Source insuffisante ou jugée peu sérieuse.</t>
  </si>
  <si>
    <t>FR-26-0416</t>
  </si>
  <si>
    <t>Pas de ~
Pas du ~</t>
  </si>
  <si>
    <t>Lauzens
Turc</t>
  </si>
  <si>
    <t>Pas de Lauzens
Pas du Turc</t>
  </si>
  <si>
    <t>026-029</t>
  </si>
  <si>
    <t>660-4945-40-29</t>
  </si>
  <si>
    <t>332-D06-037-123</t>
  </si>
  <si>
    <t>D70</t>
  </si>
  <si>
    <t>005°04'09.9"E</t>
  </si>
  <si>
    <t>44°39'56.9"N</t>
  </si>
  <si>
    <t>FR-26-0422</t>
  </si>
  <si>
    <t>180-042</t>
  </si>
  <si>
    <t>650-4945-10-39</t>
  </si>
  <si>
    <t>004°54'17.0"E</t>
  </si>
  <si>
    <t>44°40'39.0"N</t>
  </si>
  <si>
    <t>Pas de caractères topographiques d'un col à l'emplacement du panneau</t>
  </si>
  <si>
    <t>FR-26-0500</t>
  </si>
  <si>
    <t>Baume</t>
  </si>
  <si>
    <t>Pas de la Baume</t>
  </si>
  <si>
    <t>3038E</t>
  </si>
  <si>
    <t>(048)-100</t>
  </si>
  <si>
    <t>655-4930-20-48</t>
  </si>
  <si>
    <t>004°58'34.1"E</t>
  </si>
  <si>
    <t>44°32'59.5"N</t>
  </si>
  <si>
    <t>Pas de caractères topographiques d'un col. Il s'agit d'un fond de combe</t>
  </si>
  <si>
    <t>FR-26-0501b</t>
  </si>
  <si>
    <t>Roche</t>
  </si>
  <si>
    <t>Pas de la Roche</t>
  </si>
  <si>
    <t>262-161</t>
  </si>
  <si>
    <t>685-4960-24-18</t>
  </si>
  <si>
    <t>332-F05-019-088</t>
  </si>
  <si>
    <t>D518</t>
  </si>
  <si>
    <t>005°22'07.6"E</t>
  </si>
  <si>
    <t>44°47'05.9"N</t>
  </si>
  <si>
    <t>Il s'agit d'un défilé et non d'un col</t>
  </si>
  <si>
    <t>FR-26-0504</t>
  </si>
  <si>
    <t>Pas de Lauzun</t>
  </si>
  <si>
    <t>Col du Pas de Lauzun</t>
  </si>
  <si>
    <t>032-025</t>
  </si>
  <si>
    <t>660-4945-47-25</t>
  </si>
  <si>
    <t>332-D06-041-121</t>
  </si>
  <si>
    <t>005°04'37.1"E</t>
  </si>
  <si>
    <t>44°39'44.7"N</t>
  </si>
  <si>
    <t>FR-26-0530a</t>
  </si>
  <si>
    <t>246-169</t>
  </si>
  <si>
    <t>685-4960-08-26</t>
  </si>
  <si>
    <t>332-F05-008-093</t>
  </si>
  <si>
    <t>D543a</t>
  </si>
  <si>
    <t>005°20'54.2"E</t>
  </si>
  <si>
    <t>44°47'32.1"N</t>
  </si>
  <si>
    <t>FR-26-0550b</t>
  </si>
  <si>
    <t>234-(100)</t>
  </si>
  <si>
    <t>655-4930-17-49</t>
  </si>
  <si>
    <t>004°58'21.0"E</t>
  </si>
  <si>
    <t>44°33'00.4"N</t>
  </si>
  <si>
    <t>1995 - N°23</t>
  </si>
  <si>
    <t>Le lieu-dit correspond au débouché d'une combe. Il ne s'agit pas d'un col.</t>
  </si>
  <si>
    <t>FR-26-0550d</t>
  </si>
  <si>
    <t>3139E</t>
  </si>
  <si>
    <t>270-175</t>
  </si>
  <si>
    <t>685-4920-42-32</t>
  </si>
  <si>
    <t>005°22'37.6"E</t>
  </si>
  <si>
    <t>44°26'16.0"N</t>
  </si>
  <si>
    <t>Collet désigne plutôt une colline et ici. il nomme une ferme</t>
  </si>
  <si>
    <t>FR-26-0569</t>
  </si>
  <si>
    <t>Merle</t>
  </si>
  <si>
    <t>Collet du Merle</t>
  </si>
  <si>
    <t>3140O</t>
  </si>
  <si>
    <t>141-187</t>
  </si>
  <si>
    <t>675-4900-17-40</t>
  </si>
  <si>
    <t>005°12'48.3"E</t>
  </si>
  <si>
    <t>44°16'04.6"N</t>
  </si>
  <si>
    <t>Collet du Merle désigne tout un secteur et non un col précis. "Collet" désigne. dans la plupart des cas. un sommet dans les départements du sud-est de la France. Il s'agit du diminutif de "colle" qui vient du latin "collis" qui signifie colline.</t>
  </si>
  <si>
    <t>FR-26-0635a</t>
  </si>
  <si>
    <t>3138O</t>
  </si>
  <si>
    <t>044-(087)</t>
  </si>
  <si>
    <t>665-4935-11-14</t>
  </si>
  <si>
    <t>332-D06-048-046</t>
  </si>
  <si>
    <t>D538</t>
  </si>
  <si>
    <t>005°05'30.0"E</t>
  </si>
  <si>
    <t>44°33'42.3"N</t>
  </si>
  <si>
    <t>FR-26-0640a</t>
  </si>
  <si>
    <t>3136E</t>
  </si>
  <si>
    <t>158-169</t>
  </si>
  <si>
    <t>675-4980-15-23</t>
  </si>
  <si>
    <t>332-E04-037-103</t>
  </si>
  <si>
    <t>005°14'16.9"E</t>
  </si>
  <si>
    <t>44°58'18.9"N</t>
  </si>
  <si>
    <t>Pas de col topographique.
documents non reconnus par CCC</t>
  </si>
  <si>
    <t>FR-26-0710</t>
  </si>
  <si>
    <t>Echaillon</t>
  </si>
  <si>
    <t>Pas de l'Echaillon</t>
  </si>
  <si>
    <t>226-(029)</t>
  </si>
  <si>
    <t>680-4920-48-27</t>
  </si>
  <si>
    <t>005°19'18.1"E</t>
  </si>
  <si>
    <t>44°26'02.6"N</t>
  </si>
  <si>
    <t>Le réticule bleu correspond à la localisation du toponyme sur la Bdnyme de l'IGN. Il pointe sur le nom lui-même. Ceci indique que le toponyme indique tout un secteur (y compris la gorge du Léoux) Il ne s'agit donc pas d'un col.</t>
  </si>
  <si>
    <t>FR-26-0739</t>
  </si>
  <si>
    <t>Bernarde</t>
  </si>
  <si>
    <t>Pas de la Bernarde</t>
  </si>
  <si>
    <t>156-077</t>
  </si>
  <si>
    <t>675-4950-19-31</t>
  </si>
  <si>
    <t>005°14'00.7"E</t>
  </si>
  <si>
    <t>44°42'33.3"N</t>
  </si>
  <si>
    <t>Ce pas est un simple passage sur le flanc d'une montagne. sans franchissement ressemblant. même de loin. à un col.</t>
  </si>
  <si>
    <t>FR-26-0753</t>
  </si>
  <si>
    <t>3138E</t>
  </si>
  <si>
    <t>173-(069)</t>
  </si>
  <si>
    <t>675-4935-41-36</t>
  </si>
  <si>
    <t>005°15'19.9"E</t>
  </si>
  <si>
    <t>44°34'41.4"N</t>
  </si>
  <si>
    <t>Il s'agit d'une hauteur à 753 m et non d'un col. Dans le SE de la France. "Collet" désigne dans la plupart des cas. un sommet. Collet est le diminutif de "colle" qui vient du latin "collis" qui signife colline.</t>
  </si>
  <si>
    <t>FR-26-0765a</t>
  </si>
  <si>
    <t>Fontoubraire</t>
  </si>
  <si>
    <t>Pas de Fontoubraire</t>
  </si>
  <si>
    <t>3136O</t>
  </si>
  <si>
    <t>043-027</t>
  </si>
  <si>
    <t>665-4965-03-28</t>
  </si>
  <si>
    <t>005°05'27.8"E</t>
  </si>
  <si>
    <t>44°50'38.9"N</t>
  </si>
  <si>
    <t>Passage dans une barre rocheuse</t>
  </si>
  <si>
    <t>FR-26-0770</t>
  </si>
  <si>
    <t>Le col d'~</t>
  </si>
  <si>
    <t>Aussette</t>
  </si>
  <si>
    <t>Le col d'Aussette</t>
  </si>
  <si>
    <t>278-032</t>
  </si>
  <si>
    <t>690-4905-03-40</t>
  </si>
  <si>
    <t>R1-S2</t>
  </si>
  <si>
    <t>005°23'08.4"E</t>
  </si>
  <si>
    <t>44°18'32.5"N</t>
  </si>
  <si>
    <t>La typographie utilisée n'est pas celle attribuée à un col sur les cartes IGN. "Le Col de..." (avec l'article Le) désigne dans la plupart des cas. un sommet dans les départements du sud-est de la France. il s'agit d'une déformation de "colle" (vient du latin "collis" qui signifie colline)</t>
  </si>
  <si>
    <t>FR-26-0795a</t>
  </si>
  <si>
    <t>011-020</t>
  </si>
  <si>
    <t>660-4945-25-20</t>
  </si>
  <si>
    <t>S4-1-2(O)</t>
  </si>
  <si>
    <t>005°02'59.9"E</t>
  </si>
  <si>
    <t>44°39'29.2"N</t>
  </si>
  <si>
    <t>Ce Maupas se situer dans la combe qui s'ouvre vers le sud. Le passage délicat car très pentu a justifié le nom.</t>
  </si>
  <si>
    <t>FR-26-0800d</t>
  </si>
  <si>
    <t>Vignes</t>
  </si>
  <si>
    <t>le Col des Vignes</t>
  </si>
  <si>
    <t>206-(089)</t>
  </si>
  <si>
    <t>680-4935-24-16</t>
  </si>
  <si>
    <t>332-E06-069-044</t>
  </si>
  <si>
    <t>D271</t>
  </si>
  <si>
    <t>005°17'47.5"E</t>
  </si>
  <si>
    <t>44°33'35.8"N</t>
  </si>
  <si>
    <t>Il s'agit d'une hauteur à 780m et non d'un col. "Le Col de..." (avec l'article Le) désigne dans la plupart des cas. un sommet dans les départements du sud de la France. il s'agit d'une déformation de "colle" (vient du latin "collis" qui signifie colline)</t>
  </si>
  <si>
    <t>FR-26-0800e</t>
  </si>
  <si>
    <t>Code</t>
  </si>
  <si>
    <t>Intitulé</t>
  </si>
  <si>
    <t>Nom</t>
  </si>
  <si>
    <t>Nom complet</t>
  </si>
  <si>
    <t>Alti</t>
  </si>
  <si>
    <t>IGN</t>
  </si>
  <si>
    <t>IGN Quad</t>
  </si>
  <si>
    <t>Coord</t>
  </si>
  <si>
    <t>TOP100</t>
  </si>
  <si>
    <t>Documents</t>
  </si>
  <si>
    <t>Michelin DEPT</t>
  </si>
  <si>
    <t>Accès</t>
  </si>
  <si>
    <t>Diff</t>
  </si>
  <si>
    <t>Type</t>
  </si>
  <si>
    <t>Exclusions</t>
  </si>
  <si>
    <t>Lim</t>
  </si>
  <si>
    <t>WGS84 Lon S</t>
  </si>
  <si>
    <t>WGS84 Lat S</t>
  </si>
  <si>
    <t>WGS84 Lon D</t>
  </si>
  <si>
    <t>WGS84 Lat D</t>
  </si>
  <si>
    <t>UTM Z</t>
  </si>
  <si>
    <t>UTM E</t>
  </si>
  <si>
    <t>UTM N</t>
  </si>
  <si>
    <t>Lon_IGN</t>
  </si>
  <si>
    <t>Lat_IGN</t>
  </si>
  <si>
    <t>Remarques</t>
  </si>
  <si>
    <t>Statut</t>
  </si>
  <si>
    <t>Année</t>
  </si>
  <si>
    <t>Date de l'ajout</t>
  </si>
  <si>
    <t>Version de l'ajout</t>
  </si>
  <si>
    <t>Raison du refus ou de la suppression</t>
  </si>
  <si>
    <t>FR-01-0441</t>
  </si>
  <si>
    <t>Col de ~</t>
  </si>
  <si>
    <t>Plain Champ</t>
  </si>
  <si>
    <t>Col de Plain Champ</t>
  </si>
  <si>
    <t>3128E</t>
  </si>
  <si>
    <t>270-090</t>
  </si>
  <si>
    <t>680-5130-38-47</t>
  </si>
  <si>
    <t>328-F02-028-006</t>
  </si>
  <si>
    <t>D52b</t>
  </si>
  <si>
    <t>005°23'17.7"E</t>
  </si>
  <si>
    <t>46°20'28.3"N</t>
  </si>
  <si>
    <t>R</t>
  </si>
  <si>
    <t>Document non conforme à la RDJ.</t>
  </si>
  <si>
    <t>FR-01-0485</t>
  </si>
  <si>
    <t>Gollet de la ~
Golet de la ~</t>
  </si>
  <si>
    <t>Chicle
Chicle</t>
  </si>
  <si>
    <t>Gollet de la Chicle
Golet de la Chicle</t>
  </si>
  <si>
    <t>3230O</t>
  </si>
  <si>
    <t>078-025</t>
  </si>
  <si>
    <t>690-5085-37-35</t>
  </si>
  <si>
    <t>005°29'52.5"E</t>
  </si>
  <si>
    <t>45°55'21.3"N</t>
  </si>
  <si>
    <t>Topographie insuffisante</t>
  </si>
  <si>
    <t>FR-01-0538</t>
  </si>
  <si>
    <t>Golet de la ~
Golet à la ~</t>
  </si>
  <si>
    <t>Vuivra
Vuivra</t>
  </si>
  <si>
    <t>Golet de la Vuivra
Golet à la Vuivra</t>
  </si>
  <si>
    <t>3228E</t>
  </si>
  <si>
    <t>200-033</t>
  </si>
  <si>
    <t>700-5125-47-46</t>
  </si>
  <si>
    <t>CV</t>
  </si>
  <si>
    <t>005°39'26.2"E</t>
  </si>
  <si>
    <t>46°17'21.4"N</t>
  </si>
  <si>
    <t>Topographie peu convaincante. l'iintitulé Golet peux désigner autre chose qu'un col.</t>
  </si>
  <si>
    <t>FR-01-0602a</t>
  </si>
  <si>
    <t>Golet de ~</t>
  </si>
  <si>
    <t>Lent</t>
  </si>
  <si>
    <t>Golet de Lent</t>
  </si>
  <si>
    <t>025-025</t>
  </si>
  <si>
    <t>685-5085-33-33</t>
  </si>
  <si>
    <t>005°25'43.2"E</t>
  </si>
  <si>
    <t>45°55'19.6"N</t>
  </si>
  <si>
    <t>FR-01-0690</t>
  </si>
  <si>
    <t>Gollet du ~</t>
  </si>
  <si>
    <t>Pontet</t>
  </si>
  <si>
    <t>Gollet du Pontet</t>
  </si>
  <si>
    <t>3229O</t>
  </si>
  <si>
    <t>096-198</t>
  </si>
  <si>
    <t>690-5125-44-08</t>
  </si>
  <si>
    <t>S</t>
  </si>
  <si>
    <t>005°31'18.7"E</t>
  </si>
  <si>
    <t>46°15'29.6"N</t>
  </si>
  <si>
    <t>FR-01-0765</t>
  </si>
  <si>
    <t>Gollet de la ~</t>
  </si>
  <si>
    <t>Claz</t>
  </si>
  <si>
    <t>Gollet de la Claz</t>
  </si>
  <si>
    <t>3231O</t>
  </si>
  <si>
    <t>093-(012)</t>
  </si>
  <si>
    <t>695-5080-02-48</t>
  </si>
  <si>
    <t>005°30'58.7"E</t>
  </si>
  <si>
    <t>45°53'21.8"N</t>
  </si>
  <si>
    <t>Topographie incertaine.</t>
  </si>
  <si>
    <t>FR-01-0914a</t>
  </si>
  <si>
    <t>Golet du ~</t>
  </si>
  <si>
    <t>Four</t>
  </si>
  <si>
    <t>Golet du Four</t>
  </si>
  <si>
    <t>3230E</t>
  </si>
  <si>
    <t>258-091</t>
  </si>
  <si>
    <t>710-5095-15-06</t>
  </si>
  <si>
    <t>328-H05-033-110</t>
  </si>
  <si>
    <t>D30</t>
  </si>
  <si>
    <t>005°43'48.5"E</t>
  </si>
  <si>
    <t>45°58'53.3"N</t>
  </si>
  <si>
    <t>"Golet" signifie "trou". Ici il s'agit d'une combe au fond de laquelle passe un cours d'eau. Il ne peut donc pas s'agir d'un col topographique.</t>
  </si>
  <si>
    <t>FR-01-0974</t>
  </si>
  <si>
    <t>Passage de la ~</t>
  </si>
  <si>
    <t>Pierre Taillée</t>
  </si>
  <si>
    <t>Passage de la Pierre Taillée</t>
  </si>
  <si>
    <t>175-075</t>
  </si>
  <si>
    <t>700-5090-32-38</t>
  </si>
  <si>
    <t>328-G05-064-100</t>
  </si>
  <si>
    <t>D9</t>
  </si>
  <si>
    <t>005°37'23.5"E</t>
  </si>
  <si>
    <t>45°58'03.2"N</t>
  </si>
  <si>
    <t>Il s'agit d'un défilé au fond duquel passe un cours d'eau. Il ne peut donc pas s'agir d'un col topographique.</t>
  </si>
  <si>
    <t>FR-01-0994</t>
  </si>
  <si>
    <t>Trou de ~
Trou de ~</t>
  </si>
  <si>
    <t>Petay
Potay</t>
  </si>
  <si>
    <t>Trou de Petay
Trou de Potay</t>
  </si>
  <si>
    <t>3229E</t>
  </si>
  <si>
    <t>(086)-054</t>
  </si>
  <si>
    <t>700-5110-43-17</t>
  </si>
  <si>
    <t>005°38'42.4"E</t>
  </si>
  <si>
    <t>46°07'42.0"N</t>
  </si>
  <si>
    <t>Ici. "trou" désigne une dépression (une doline) et non un col.</t>
  </si>
  <si>
    <t>FR-01-1021</t>
  </si>
  <si>
    <t>Cuvillat</t>
  </si>
  <si>
    <t>Golet de Cuvillat</t>
  </si>
  <si>
    <t>185-147</t>
  </si>
  <si>
    <t>700-5100-40-10</t>
  </si>
  <si>
    <t>328-G04-070-024</t>
  </si>
  <si>
    <t>D57a</t>
  </si>
  <si>
    <t>005°38'11.7"E</t>
  </si>
  <si>
    <t>46°01'57.2"N</t>
  </si>
  <si>
    <t>"Golet" signifie "trou". Ici il s'agit d'un défilé au fond duquel passe un cours d'eau. Il ne peut donc pas s'agir d'un col topographique.</t>
  </si>
  <si>
    <t>FR-01-1122</t>
  </si>
  <si>
    <t>Golet de l' ~</t>
  </si>
  <si>
    <t>Epine</t>
  </si>
  <si>
    <t>Golet de l' Epine</t>
  </si>
  <si>
    <t>139-107</t>
  </si>
  <si>
    <t>700-5075-01-19</t>
  </si>
  <si>
    <t>005°34'32.4"E</t>
  </si>
  <si>
    <t>45°48'59.3"N</t>
  </si>
  <si>
    <t>FR-01-1134</t>
  </si>
  <si>
    <t>le Golet ~</t>
  </si>
  <si>
    <t>Marmier</t>
  </si>
  <si>
    <t>le Golet Marmier</t>
  </si>
  <si>
    <t>174-071</t>
  </si>
  <si>
    <t>700-5090-32-34</t>
  </si>
  <si>
    <t>R1-2</t>
  </si>
  <si>
    <t>005°37'19.5"E</t>
  </si>
  <si>
    <t>45°57'50.2"N</t>
  </si>
  <si>
    <t>C'est un sommet à 1134.</t>
  </si>
  <si>
    <t>FR-01-1170</t>
  </si>
  <si>
    <t>Golet des ~</t>
  </si>
  <si>
    <t>Murs</t>
  </si>
  <si>
    <t>Golet des Murs</t>
  </si>
  <si>
    <t>3329O</t>
  </si>
  <si>
    <t>060-177</t>
  </si>
  <si>
    <t>715-5120-35-45</t>
  </si>
  <si>
    <t>R1</t>
  </si>
  <si>
    <t>005°50'03.3"E</t>
  </si>
  <si>
    <t>46°14'21.0"N</t>
  </si>
  <si>
    <t>Golet signifie "trou" Il s'agit ici d'une large combe. pas de caractères d'un col.</t>
  </si>
  <si>
    <t>FR-01-1360</t>
  </si>
  <si>
    <t>~</t>
  </si>
  <si>
    <t>Le Portail</t>
  </si>
  <si>
    <t>3328E</t>
  </si>
  <si>
    <t>255-154</t>
  </si>
  <si>
    <t>275-5140-12-24</t>
  </si>
  <si>
    <t>006°05'20.9"E</t>
  </si>
  <si>
    <t>46°23'53.7"N</t>
  </si>
  <si>
    <t>Pas de caractère topographique</t>
  </si>
  <si>
    <t>FR-02-0071</t>
  </si>
  <si>
    <t>le Passage</t>
  </si>
  <si>
    <t>2610O</t>
  </si>
  <si>
    <t>073-104</t>
  </si>
  <si>
    <t>520-5490-45-35</t>
  </si>
  <si>
    <t>003°20'17.9"E</t>
  </si>
  <si>
    <t>49°35'37.9"N</t>
  </si>
  <si>
    <t>Passage situé dans le lit d'un ruisseau</t>
  </si>
  <si>
    <t>FR-02-0097</t>
  </si>
  <si>
    <t>le Pas de ~</t>
  </si>
  <si>
    <t>Sable</t>
  </si>
  <si>
    <t>le Pas de Sable</t>
  </si>
  <si>
    <t>2610E</t>
  </si>
  <si>
    <t>140-015</t>
  </si>
  <si>
    <t>530-5480-11-46</t>
  </si>
  <si>
    <t>003°25'47.7"E</t>
  </si>
  <si>
    <t>49°30'47.2"N</t>
  </si>
  <si>
    <t>Sur le flanc d'une colline, ce Pas n'est topographiquement pas un col</t>
  </si>
  <si>
    <t>FR-02-0124</t>
  </si>
  <si>
    <t>la Colle ~</t>
  </si>
  <si>
    <t>Baudé</t>
  </si>
  <si>
    <t>la Colle Baudé</t>
  </si>
  <si>
    <t>2708E</t>
  </si>
  <si>
    <t>178-048</t>
  </si>
  <si>
    <t>560-5525-06-32</t>
  </si>
  <si>
    <t>003°50'39.7"E</t>
  </si>
  <si>
    <t>49°54'12.5"N</t>
  </si>
  <si>
    <t>Colle peut parfois signifier Col mais ici, nous sommes dans la vallée de l'Oise à 4 m au dessus du niveau de celle-ci.</t>
  </si>
  <si>
    <t>FR-02-0125</t>
  </si>
  <si>
    <t xml:space="preserve">les Pas ~ </t>
  </si>
  <si>
    <t>St-Martin</t>
  </si>
  <si>
    <t xml:space="preserve">les Pas St-Martin </t>
  </si>
  <si>
    <t>2511E</t>
  </si>
  <si>
    <t>225-050</t>
  </si>
  <si>
    <t>La Bdnyme de l'IGN localise ce pas au fond de la vallée au pc 985. Il ne s'agit pas d'un col.</t>
  </si>
  <si>
    <t>FR-26-1000a</t>
  </si>
  <si>
    <t>161-074</t>
  </si>
  <si>
    <t>705-4930-16-37</t>
  </si>
  <si>
    <t>005°35'57.9"E</t>
  </si>
  <si>
    <t>44°31'36.5"N</t>
  </si>
  <si>
    <t>Collet désigne un hameau. Rien n'indique que ce toponyme s'applique à un col topographique situé plus à l'ouest.</t>
  </si>
  <si>
    <t>FR-26-1005</t>
  </si>
  <si>
    <t>Loge</t>
  </si>
  <si>
    <t>Col de la Loge</t>
  </si>
  <si>
    <t>088-030</t>
  </si>
  <si>
    <t>700-4885-06-40</t>
  </si>
  <si>
    <t>332-G09-004-094</t>
  </si>
  <si>
    <t>005°30'26.0"E</t>
  </si>
  <si>
    <t>44°07'36.8"N</t>
  </si>
  <si>
    <t>Le col de la Loge est une crête et non un col. ainsi que le confirme l'IGN.</t>
  </si>
  <si>
    <t>FR-26-1021</t>
  </si>
  <si>
    <t>Lune</t>
  </si>
  <si>
    <t>Pas de la Lune</t>
  </si>
  <si>
    <t>241-056</t>
  </si>
  <si>
    <t>685-4930-10-12</t>
  </si>
  <si>
    <t>005°20'26.3"E</t>
  </si>
  <si>
    <t>44°30'36.4"N</t>
  </si>
  <si>
    <t>FR-26-1045a</t>
  </si>
  <si>
    <t>Vache</t>
  </si>
  <si>
    <t>Col de Vache</t>
  </si>
  <si>
    <t>156-185</t>
  </si>
  <si>
    <t>705-4940-07-47</t>
  </si>
  <si>
    <t>005°35'35.9"E</t>
  </si>
  <si>
    <t>44°37'34.9"N</t>
  </si>
  <si>
    <t>Doublon du Col de Vabre FR-26-0978</t>
  </si>
  <si>
    <t>FR-26-1050b</t>
  </si>
  <si>
    <t>Le pas de la Baume</t>
  </si>
  <si>
    <t>091-097</t>
  </si>
  <si>
    <t>665-4970-49-49</t>
  </si>
  <si>
    <t>005°09'07.2"E</t>
  </si>
  <si>
    <t>44°54'26.1"N</t>
  </si>
  <si>
    <t>La typographie n'est pas celle utilisée pour indiquer un col sur une carte. Il s'agit du nom d'un secteur et non d'un point de passage précis.</t>
  </si>
  <si>
    <t>FR-26-1060c</t>
  </si>
  <si>
    <t>Goret</t>
  </si>
  <si>
    <t>Pas du Goret</t>
  </si>
  <si>
    <t>110-026</t>
  </si>
  <si>
    <t>670-4965-20-28</t>
  </si>
  <si>
    <t>HS2-3(S), HS3(N)</t>
  </si>
  <si>
    <t>005°10'32.9"E</t>
  </si>
  <si>
    <t xml:space="preserve">La BD de l'IGN pointe sur un lieu-dit </t>
  </si>
  <si>
    <t>FR-26-1075b</t>
  </si>
  <si>
    <t>Le col ~</t>
  </si>
  <si>
    <t>Marin</t>
  </si>
  <si>
    <t>Le col Marin</t>
  </si>
  <si>
    <t>090-042</t>
  </si>
  <si>
    <t>700-4890-08-03</t>
  </si>
  <si>
    <t>005°30'35.3"E</t>
  </si>
  <si>
    <t>44°08'17.4"N</t>
  </si>
  <si>
    <t>Pas de caractères topographiques d'un col. La typographie utilisée n'est pas celle attribuée à un col sur les cartes IGN. "Le Col de..." (avec l'article Le) désigne dans la plupart des cas. un sommet dans les départements du sud de la France. il s'agit d'une déformation de "colle" (vient du latin "collis" qui signifie colline)</t>
  </si>
  <si>
    <t>FR-26-1082</t>
  </si>
  <si>
    <t>283-058</t>
  </si>
  <si>
    <t>690-4930-03-16</t>
  </si>
  <si>
    <t>005°23'38.1"E</t>
  </si>
  <si>
    <t>44°30'45.3"N</t>
  </si>
  <si>
    <t>Passage délicat pour franchir une corniche. Pas de caractères topographiques d'un col.</t>
  </si>
  <si>
    <t>FR-26-1095b</t>
  </si>
  <si>
    <t>Saint-Michel</t>
  </si>
  <si>
    <t>Pas de Saint-Michel</t>
  </si>
  <si>
    <t>229-004</t>
  </si>
  <si>
    <t>680-4945-45-10</t>
  </si>
  <si>
    <t>005°19'35.7"E</t>
  </si>
  <si>
    <t>44°38'36.2"N</t>
  </si>
  <si>
    <t>FR-26-1100</t>
  </si>
  <si>
    <t>Le Col du ~</t>
  </si>
  <si>
    <t>Chabau</t>
  </si>
  <si>
    <t>Le Col du Chabau</t>
  </si>
  <si>
    <t>3240E</t>
  </si>
  <si>
    <t>194-099</t>
  </si>
  <si>
    <t>710-4895-10-12</t>
  </si>
  <si>
    <t>005°38'22.6"E</t>
  </si>
  <si>
    <t>44°11'20.1"N</t>
  </si>
  <si>
    <t>Ne nomme pas un col topographique. La typographie utilisée n'est pas celle utilisée pour indiquer un col. "Le Col de..." (avec l'article Le) désigne dans la plupart des cas. un sommet dans les départements du sud de la France. il s'agit d'une déformation de "colle" (vient du latin "collis" qui signifie colline)</t>
  </si>
  <si>
    <t>FR-26-1113a</t>
  </si>
  <si>
    <t>Saïs</t>
  </si>
  <si>
    <t>Collet de Saïs</t>
  </si>
  <si>
    <t>083-045</t>
  </si>
  <si>
    <t>695-4890-50-05</t>
  </si>
  <si>
    <t>005°30'01.2"E</t>
  </si>
  <si>
    <t>44°08'24.9"N</t>
  </si>
  <si>
    <t>FR-26-1140b</t>
  </si>
  <si>
    <t>Corbière</t>
  </si>
  <si>
    <t>Pas de Corbière</t>
  </si>
  <si>
    <t>3239O</t>
  </si>
  <si>
    <t>030-046</t>
  </si>
  <si>
    <t>690-4910-41-05</t>
  </si>
  <si>
    <t>S1-2-3. GRP. GR91</t>
  </si>
  <si>
    <t>005°26'02.9"E</t>
  </si>
  <si>
    <t>44°19'17.4"N</t>
  </si>
  <si>
    <t>C'est un défilé. voir FR-26-1149 Col de Corbière</t>
  </si>
  <si>
    <t>FR-26-1153</t>
  </si>
  <si>
    <t>Ruès</t>
  </si>
  <si>
    <t>Le col de Ruès</t>
  </si>
  <si>
    <t>107-041</t>
  </si>
  <si>
    <t>700-4890-24-02</t>
  </si>
  <si>
    <t>005°31'48.5"E</t>
  </si>
  <si>
    <t>44°08'13.1"N</t>
  </si>
  <si>
    <t>510-5465-36-30</t>
  </si>
  <si>
    <t>306-B06-010-023</t>
  </si>
  <si>
    <t>003°11'12.0"E</t>
  </si>
  <si>
    <t>49°21'52.3"N</t>
  </si>
  <si>
    <t>Sur la carte IGN " La Croix des Pas St Martin" il s'agit d'une nomination indirecte. Les Pas St Martin ne sont pas indiqués sur la carte. Difficile de trouver un endroit aux alentours ayant les caractéristiques d'un col .</t>
  </si>
  <si>
    <t>FR-02-0129</t>
  </si>
  <si>
    <t>les Collets</t>
  </si>
  <si>
    <t>Les Collets</t>
  </si>
  <si>
    <t>063-060</t>
  </si>
  <si>
    <t>520-5485-35-41</t>
  </si>
  <si>
    <t>003°19'28.3"E</t>
  </si>
  <si>
    <t>49°33'14.5"N</t>
  </si>
  <si>
    <t>Sur le flanc d'une colline, ces Collets n'ont pas les caractéristique topographiques d'un col</t>
  </si>
  <si>
    <t>FR-02-0149</t>
  </si>
  <si>
    <t>Dame</t>
  </si>
  <si>
    <t>le Pas de Dame</t>
  </si>
  <si>
    <t>2611O</t>
  </si>
  <si>
    <t>038-117</t>
  </si>
  <si>
    <t>520-5470-10-48</t>
  </si>
  <si>
    <t>003°17'21.1"E</t>
  </si>
  <si>
    <t>49°25'30.6"N</t>
  </si>
  <si>
    <t>Il est probable que ce toponyme corresponde au sommet d'une petite colline.</t>
  </si>
  <si>
    <t>FR-02-0153</t>
  </si>
  <si>
    <t>le Passsage</t>
  </si>
  <si>
    <t>2512E</t>
  </si>
  <si>
    <t>147-086</t>
  </si>
  <si>
    <t>505-5450-07-16</t>
  </si>
  <si>
    <t>003°04'44.1"E</t>
  </si>
  <si>
    <t>49°13'01.3"N</t>
  </si>
  <si>
    <t>Nomination indirecte, le passage par lui-même n'est pas indiqué sur la carte.  Difficile de trouver un endroit aux alentours ayant les caractéristiques d'un col .</t>
  </si>
  <si>
    <t>FR-02-0168</t>
  </si>
  <si>
    <t>Passe à ~</t>
  </si>
  <si>
    <t>Cailloux</t>
  </si>
  <si>
    <t>Passe à Cailloux</t>
  </si>
  <si>
    <t>2808O</t>
  </si>
  <si>
    <t>118-011</t>
  </si>
  <si>
    <t>580-5520-05-47</t>
  </si>
  <si>
    <t>306-G03-058-027</t>
  </si>
  <si>
    <t>004°07'14.7"E</t>
  </si>
  <si>
    <t>49°52'10.0"N</t>
  </si>
  <si>
    <t>Situé dans une vallée au croisement de la route et de la voie ferrée. Topographiquement pas un col. Pourrait désigner le passage à niveau.</t>
  </si>
  <si>
    <t>FR-02-0184</t>
  </si>
  <si>
    <t>le Pas ~</t>
  </si>
  <si>
    <t>Morel</t>
  </si>
  <si>
    <t>le Pas Morel</t>
  </si>
  <si>
    <t>2612O</t>
  </si>
  <si>
    <t>099-111</t>
  </si>
  <si>
    <t>525-5450-22-42</t>
  </si>
  <si>
    <t>003°22'23.2"E</t>
  </si>
  <si>
    <t>49°14'23.0"N</t>
  </si>
  <si>
    <t>FR-02-0189</t>
  </si>
  <si>
    <t>la Passe ~</t>
  </si>
  <si>
    <t>Branlante</t>
  </si>
  <si>
    <t>la Passe Branlante</t>
  </si>
  <si>
    <t>2808E</t>
  </si>
  <si>
    <t>131-068</t>
  </si>
  <si>
    <t>580-5530-18-04</t>
  </si>
  <si>
    <t>306-G03-067-065</t>
  </si>
  <si>
    <t>004°08'22.7"E</t>
  </si>
  <si>
    <t>49°55'14.8"N</t>
  </si>
  <si>
    <t>Située dans la vallée du Ruisseau Le Gland .Le nom provient vraisemblablement d'une passerelle instable traversant le ruisseau.</t>
  </si>
  <si>
    <t>FR-02-0195</t>
  </si>
  <si>
    <t>Bayard</t>
  </si>
  <si>
    <t>le Pas Bayard</t>
  </si>
  <si>
    <t>102-108</t>
  </si>
  <si>
    <t>575-5530-39-44</t>
  </si>
  <si>
    <t>306-G03-048-092</t>
  </si>
  <si>
    <t>004°05'58.6"E</t>
  </si>
  <si>
    <t>49°57'24.4"N</t>
  </si>
  <si>
    <t>Situé au fond de la vallée de l'Oise. Ce Pas comme de nombreux autres doit désigner un passage étroit ou défilé dans le lit d'une rivière</t>
  </si>
  <si>
    <t>FR-02-0218</t>
  </si>
  <si>
    <t xml:space="preserve">Passe ~ </t>
  </si>
  <si>
    <t>Dru</t>
  </si>
  <si>
    <t xml:space="preserve">Passe Dru </t>
  </si>
  <si>
    <t>142-128</t>
  </si>
  <si>
    <t>580-5535-29-15</t>
  </si>
  <si>
    <t>BE</t>
  </si>
  <si>
    <t>004°09'20.0"E</t>
  </si>
  <si>
    <t>49°58'31.5"N</t>
  </si>
  <si>
    <t>Acier
Dacier</t>
  </si>
  <si>
    <t>Pas d'Acier 
Pas Acier</t>
  </si>
  <si>
    <t>123-(025)</t>
  </si>
  <si>
    <t>670-4940-39-28</t>
  </si>
  <si>
    <t>005°11'31.9"E</t>
  </si>
  <si>
    <t>44°37'04.2"N</t>
  </si>
  <si>
    <t>Passage délicat dans les rochers qui ne présente pas les caractéristiques topographiques d'un col.</t>
  </si>
  <si>
    <t>FR-26-1360</t>
  </si>
  <si>
    <t>Entrecols</t>
  </si>
  <si>
    <t>250-012</t>
  </si>
  <si>
    <t>685-4965-11-18</t>
  </si>
  <si>
    <t>005°21'14.5"E</t>
  </si>
  <si>
    <t>44°49'49.5"N</t>
  </si>
  <si>
    <t>Ne correspond qu'à un point entre deux cols</t>
  </si>
  <si>
    <t>FR-26-1500a</t>
  </si>
  <si>
    <t>Follet</t>
  </si>
  <si>
    <t>Pas du Follet</t>
  </si>
  <si>
    <t>236-069</t>
  </si>
  <si>
    <t>680-4970-45-25</t>
  </si>
  <si>
    <t>005°20'11.3"E</t>
  </si>
  <si>
    <t>44°52'56.0"N</t>
  </si>
  <si>
    <t>Topo(03-14)</t>
  </si>
  <si>
    <t>Absence de col topo dans ce secteur.</t>
  </si>
  <si>
    <t>FR-26-1500b</t>
  </si>
  <si>
    <t>Pascaud</t>
  </si>
  <si>
    <t>Pas Pascaud</t>
  </si>
  <si>
    <t>227-070</t>
  </si>
  <si>
    <t>680-4970-36-26</t>
  </si>
  <si>
    <t>S1-2(N). GR</t>
  </si>
  <si>
    <t>005°19'31.5"E</t>
  </si>
  <si>
    <t>44°53'00.2"N</t>
  </si>
  <si>
    <t>FR-26-1540</t>
  </si>
  <si>
    <t>Echallier</t>
  </si>
  <si>
    <t>Pas de l'Echallier</t>
  </si>
  <si>
    <t>3237O</t>
  </si>
  <si>
    <t>073-103</t>
  </si>
  <si>
    <t>695-4955-21-13</t>
  </si>
  <si>
    <t>005°29'20.4"E</t>
  </si>
  <si>
    <t>44°43'58.6"N</t>
  </si>
  <si>
    <t>Simple passage dans la falaise.</t>
  </si>
  <si>
    <t>FR-26-1543a</t>
  </si>
  <si>
    <t>Pot de la Croix</t>
  </si>
  <si>
    <t>Col du Pot de la Croix</t>
  </si>
  <si>
    <t>242-078</t>
  </si>
  <si>
    <t>685-4970-01-34</t>
  </si>
  <si>
    <t>005°20'40.1"E</t>
  </si>
  <si>
    <t>44°53'23.2"N</t>
  </si>
  <si>
    <t>Sur l'Oise cette passe désigne un passage sur la rivière.</t>
  </si>
  <si>
    <t>FR-04-0489</t>
  </si>
  <si>
    <t>Col des ~</t>
  </si>
  <si>
    <t>Granons</t>
  </si>
  <si>
    <t>Col des Granons</t>
  </si>
  <si>
    <t>3242E</t>
  </si>
  <si>
    <t>227-138</t>
  </si>
  <si>
    <t>715-4860-04-03</t>
  </si>
  <si>
    <t>334-C09-007-023</t>
  </si>
  <si>
    <t>N100/D14</t>
  </si>
  <si>
    <t>005°40'47.9"E</t>
  </si>
  <si>
    <t>43°51'51.2"N</t>
  </si>
  <si>
    <t>Source jugée insuffisante (document archéologique voir: www.viaeromanae.org/france/ )</t>
  </si>
  <si>
    <t>FR-04-0534</t>
  </si>
  <si>
    <t>le Trécol</t>
  </si>
  <si>
    <t>3342O</t>
  </si>
  <si>
    <t>081-182</t>
  </si>
  <si>
    <t>725-4865-45-01</t>
  </si>
  <si>
    <t>005°51'27.6"E</t>
  </si>
  <si>
    <t>43°54'13.4"N</t>
  </si>
  <si>
    <t>Le Trécol est un hameau et pas le col topo à 534.</t>
  </si>
  <si>
    <t>FR-04-0600</t>
  </si>
  <si>
    <t>Borne</t>
  </si>
  <si>
    <t>Col de Borne</t>
  </si>
  <si>
    <t>3339E</t>
  </si>
  <si>
    <t>179-138</t>
  </si>
  <si>
    <t>735-4920-24-11</t>
  </si>
  <si>
    <t>005°58'53.3"E</t>
  </si>
  <si>
    <t>44°24'16.5"N</t>
  </si>
  <si>
    <t>Col prend ici le sens de "colline" (du latin "collis". colline. qui a donné "colle" ou "collet" et transcrit de façon erronée par "col" sur les cartes)</t>
  </si>
  <si>
    <t>FR-04-0610</t>
  </si>
  <si>
    <t>Le pas de la ~</t>
  </si>
  <si>
    <t>Combe</t>
  </si>
  <si>
    <t>Le pas de la Combe</t>
  </si>
  <si>
    <t>3340O</t>
  </si>
  <si>
    <t>064-060</t>
  </si>
  <si>
    <t>725-4890-18-29</t>
  </si>
  <si>
    <t>005°50'11.4"E</t>
  </si>
  <si>
    <t>44°09'15.0"N</t>
  </si>
  <si>
    <t>2013 - N°41</t>
  </si>
  <si>
    <t>Correspond à une combe. Il ne s'agit pas d'un col.</t>
  </si>
  <si>
    <t>FR-04-0660</t>
  </si>
  <si>
    <t>Pas de ~</t>
  </si>
  <si>
    <t>Peynier</t>
  </si>
  <si>
    <t>Pas de Peynier</t>
  </si>
  <si>
    <t>101-103</t>
  </si>
  <si>
    <t>730-4895-04-24</t>
  </si>
  <si>
    <t>005°52'58.4"E</t>
  </si>
  <si>
    <t>44°11'34.8"N</t>
  </si>
  <si>
    <t>FR-04-0682</t>
  </si>
  <si>
    <t>Saint-Pensier</t>
  </si>
  <si>
    <t>Pas de Saint-Pensier</t>
  </si>
  <si>
    <t>090-103</t>
  </si>
  <si>
    <t>725-4895-43-23</t>
  </si>
  <si>
    <t>005°52'10.8"E</t>
  </si>
  <si>
    <t>44°11'32.9"N</t>
  </si>
  <si>
    <t>FR-04-0799</t>
  </si>
  <si>
    <t>Le ~</t>
  </si>
  <si>
    <t>Malpas</t>
  </si>
  <si>
    <t>Le Malpas</t>
  </si>
  <si>
    <t>3438O</t>
  </si>
  <si>
    <t>121-004</t>
  </si>
  <si>
    <t>280-4925-27-20</t>
  </si>
  <si>
    <t>334-F06-054-097</t>
  </si>
  <si>
    <t>D900b</t>
  </si>
  <si>
    <t>006°16'07.7"E</t>
  </si>
  <si>
    <t>44°27'50.1"N</t>
  </si>
  <si>
    <t>Pas de localisation précise et aucun caractère topographique.</t>
  </si>
  <si>
    <t>FR-04-0811</t>
  </si>
  <si>
    <t>Puimichel</t>
  </si>
  <si>
    <t>Col de Puimichel</t>
  </si>
  <si>
    <t>3341E</t>
  </si>
  <si>
    <t>233-098</t>
  </si>
  <si>
    <t>260-4875-33-20</t>
  </si>
  <si>
    <t>334-E08-025-006</t>
  </si>
  <si>
    <t>D12</t>
  </si>
  <si>
    <t>006°02'51.7"E</t>
  </si>
  <si>
    <t>44°00'28.1"N</t>
  </si>
  <si>
    <t>Col créé de toute pièce (pas de références sur carte ou sur cadastre) dans le but d'attirer les cyclistes. Contredit l'art. 4 de la règle du jeu.</t>
  </si>
  <si>
    <t>FR-04-0918</t>
  </si>
  <si>
    <t>La ~</t>
  </si>
  <si>
    <t>Coulette</t>
  </si>
  <si>
    <t>La Coulette</t>
  </si>
  <si>
    <t>3441E</t>
  </si>
  <si>
    <t>(089)-114</t>
  </si>
  <si>
    <t>285-4875-38-27</t>
  </si>
  <si>
    <t>006°21'54.2"E</t>
  </si>
  <si>
    <t>44°01'19.8"N</t>
  </si>
  <si>
    <t>Désigne une colline et/ou un lieu-dit</t>
  </si>
  <si>
    <t>FR-04-0950</t>
  </si>
  <si>
    <t>Praux</t>
  </si>
  <si>
    <t>Col des Praux</t>
  </si>
  <si>
    <t>3441O</t>
  </si>
  <si>
    <t>098-089</t>
  </si>
  <si>
    <t>275-4875-36-06</t>
  </si>
  <si>
    <t>RF1</t>
  </si>
  <si>
    <t>006°14'21.1"E</t>
  </si>
  <si>
    <t>43°59'59.3"N</t>
  </si>
  <si>
    <t>Topo(06-26)</t>
  </si>
  <si>
    <t xml:space="preserve">L'intitulé "Col" a été donné par les services départementaux de lutte contre l'incendie dans un soucis de répérage des citernes DFCI </t>
  </si>
  <si>
    <t>FR-04-0953</t>
  </si>
  <si>
    <t>les Portes</t>
  </si>
  <si>
    <t>129-(072)</t>
  </si>
  <si>
    <t>280-4875-19-44</t>
  </si>
  <si>
    <t>006°16'39.0"E</t>
  </si>
  <si>
    <t>44°02'06.3"N</t>
  </si>
  <si>
    <t>Ce n'est pas un col topo mais un ravin.</t>
  </si>
  <si>
    <t>FR-04-0977</t>
  </si>
  <si>
    <t>le Pas de l' ~</t>
  </si>
  <si>
    <t>Ane</t>
  </si>
  <si>
    <t>le Pas de l'Ane</t>
  </si>
  <si>
    <t>131-(077)</t>
  </si>
  <si>
    <t>280-4875-21-39</t>
  </si>
  <si>
    <t>006°16'49.5"E</t>
  </si>
  <si>
    <t>44°01'51.7"N</t>
  </si>
  <si>
    <t>Ce n'est pas un col topo mais une cascade.</t>
  </si>
  <si>
    <t>FR-04-1075a</t>
  </si>
  <si>
    <t>3541E</t>
  </si>
  <si>
    <t>150-076</t>
  </si>
  <si>
    <t>310-4870-27-32</t>
  </si>
  <si>
    <t>006°39'52.1"E</t>
  </si>
  <si>
    <t>43°59'17.0"N</t>
  </si>
  <si>
    <t>Intitulé suspect et désigne plutôt un hameau sur une hauteur.</t>
  </si>
  <si>
    <t>FR-04-1080</t>
  </si>
  <si>
    <t>Pas des ~</t>
  </si>
  <si>
    <t>Portes</t>
  </si>
  <si>
    <t>Pas des Portes</t>
  </si>
  <si>
    <t>064-042</t>
  </si>
  <si>
    <t>725-4890-19-11</t>
  </si>
  <si>
    <t>S1-2</t>
  </si>
  <si>
    <t>005°50'12.3"E</t>
  </si>
  <si>
    <t>44°08'17.3"N</t>
  </si>
  <si>
    <t>Topo(07-22)</t>
  </si>
  <si>
    <t>Passage délicat sans franchissement d'une LPE.</t>
  </si>
  <si>
    <t>FR-04-1095a</t>
  </si>
  <si>
    <t>Le Pas d'~</t>
  </si>
  <si>
    <t>Imbart</t>
  </si>
  <si>
    <t>Le Pas d'Imbart</t>
  </si>
  <si>
    <t>3440E</t>
  </si>
  <si>
    <t>(059)-070</t>
  </si>
  <si>
    <t>290-4890-24-33</t>
  </si>
  <si>
    <t>006°24'12.2"E</t>
  </si>
  <si>
    <t>44°09'47.6"N</t>
  </si>
  <si>
    <t>Désigne un passage délicat et non un col</t>
  </si>
  <si>
    <t>FR-04-1143</t>
  </si>
  <si>
    <t>Vaycous</t>
  </si>
  <si>
    <t>Pas des Vaycous</t>
  </si>
  <si>
    <t>003-055</t>
  </si>
  <si>
    <t>720-4890-07-22</t>
  </si>
  <si>
    <t>005°45'36.9"E</t>
  </si>
  <si>
    <t>44°08'59.6"N</t>
  </si>
  <si>
    <t>Topographie incertaine ne correspondant pas avec un col classique. Plutôt un endroit escarpé.</t>
  </si>
  <si>
    <t>FR-04-1226</t>
  </si>
  <si>
    <t>3340E</t>
  </si>
  <si>
    <t>266-160</t>
  </si>
  <si>
    <t>265-4900-27-31</t>
  </si>
  <si>
    <t>D3</t>
  </si>
  <si>
    <t>006°05'26.6"E</t>
  </si>
  <si>
    <t>44°14'38.3"N</t>
  </si>
  <si>
    <t>2015 - N°43</t>
  </si>
  <si>
    <t>Désigne un passage délicat mais pas un col topographique.</t>
  </si>
  <si>
    <t>FR-04-1315</t>
  </si>
  <si>
    <t>La Porte</t>
  </si>
  <si>
    <t>3439E</t>
  </si>
  <si>
    <t>197-085</t>
  </si>
  <si>
    <t>285-4910-50-49</t>
  </si>
  <si>
    <t>334-G06-017-017</t>
  </si>
  <si>
    <t>D607/D207/CV</t>
  </si>
  <si>
    <t>006°21'52.3"E</t>
  </si>
  <si>
    <t>44°21'24.6"N</t>
  </si>
  <si>
    <t>Caractères topographiques peu marqués. sauf à déplacer le toponyme "la Porte" qui nomme un hameau au pc 1315.</t>
  </si>
  <si>
    <t>FR-04-1373</t>
  </si>
  <si>
    <t>Pas de l'~</t>
  </si>
  <si>
    <t>Escayon</t>
  </si>
  <si>
    <t>Pas de l'Escayon</t>
  </si>
  <si>
    <t>206-022</t>
  </si>
  <si>
    <t>285-4885-50-35</t>
  </si>
  <si>
    <t>006°22'30.9"E</t>
  </si>
  <si>
    <t>44°07'10.6"N</t>
  </si>
  <si>
    <t>2011 - N°39</t>
  </si>
  <si>
    <t>Le réticule bleu indique la localisation de ce pas d'après la Bdnyme de l'IGN. Il s'agit d'un défilé et non d'un col.</t>
  </si>
  <si>
    <t>FR-04-1380a</t>
  </si>
  <si>
    <t>Trois Saut</t>
  </si>
  <si>
    <t>Pas des Trois Saut</t>
  </si>
  <si>
    <t>(064)-192</t>
  </si>
  <si>
    <t>290-4885-16-05</t>
  </si>
  <si>
    <t>006°23'46.6"E</t>
  </si>
  <si>
    <t>44°05'33.4"N</t>
  </si>
  <si>
    <t>Il s'agit d'un passage délicat à flanc de montagne et non d'un col.</t>
  </si>
  <si>
    <t>FR-04-1470</t>
  </si>
  <si>
    <t>Porte</t>
  </si>
  <si>
    <t>3540E</t>
  </si>
  <si>
    <t>212-088</t>
  </si>
  <si>
    <t>315-4890-45-43</t>
  </si>
  <si>
    <t>S-GR</t>
  </si>
  <si>
    <t>006°44'32.7"E</t>
  </si>
  <si>
    <t>44°10'45.8"N</t>
  </si>
  <si>
    <t>Ce toponyme désigne un lieu-dit bâti</t>
  </si>
  <si>
    <t>FR-04-1500a</t>
  </si>
  <si>
    <t>Pas de la ~</t>
  </si>
  <si>
    <t>Reyssole</t>
  </si>
  <si>
    <t>Pas de la Reyssole</t>
  </si>
  <si>
    <t>3538E</t>
  </si>
  <si>
    <t>211-(149)</t>
  </si>
  <si>
    <t>320-4930-06-06</t>
  </si>
  <si>
    <t>006°44'35.3"E</t>
  </si>
  <si>
    <t>44°30'22.4"N</t>
  </si>
  <si>
    <t>Ce pas désigne un défilé</t>
  </si>
  <si>
    <t>FR-04-1670</t>
  </si>
  <si>
    <t>Pas du ~</t>
  </si>
  <si>
    <t>Buis</t>
  </si>
  <si>
    <t>Pas du Buis</t>
  </si>
  <si>
    <t>213-011</t>
  </si>
  <si>
    <t>290-4885-06-24</t>
  </si>
  <si>
    <t/>
  </si>
  <si>
    <t>006°23'01.6"E</t>
  </si>
  <si>
    <t>44°06'36.6"N</t>
  </si>
  <si>
    <t>Doublon avec le FR-04-1675a</t>
  </si>
  <si>
    <t>FR-04-1725a</t>
  </si>
  <si>
    <t>Couletta</t>
  </si>
  <si>
    <t>La Couletta</t>
  </si>
  <si>
    <t>202-090</t>
  </si>
  <si>
    <t>315-4890-35-45</t>
  </si>
  <si>
    <t>006°43'46.6"E</t>
  </si>
  <si>
    <t>44°10'50.7"N</t>
  </si>
  <si>
    <t>Couletta n'est pas un toponyme signifiant  "col" mais versant exposé aux éboulements</t>
  </si>
  <si>
    <t>FR-04-1744</t>
  </si>
  <si>
    <t>Coulet de ~</t>
  </si>
  <si>
    <t>St-Domnin</t>
  </si>
  <si>
    <t>Coulet de St-Domnin</t>
  </si>
  <si>
    <t>3541O</t>
  </si>
  <si>
    <t>102-093</t>
  </si>
  <si>
    <t>305-4875-30-01</t>
  </si>
  <si>
    <t>006°36'16.1"E</t>
  </si>
  <si>
    <t>44°00'14.7"N</t>
  </si>
  <si>
    <t>Il s'agit d'un sommet et non d'un col.</t>
  </si>
  <si>
    <t>FR-04-1995</t>
  </si>
  <si>
    <t>Roy</t>
  </si>
  <si>
    <t>Pas du Roy</t>
  </si>
  <si>
    <t>200-021</t>
  </si>
  <si>
    <t>315-4925-43-26</t>
  </si>
  <si>
    <t>006°43'41.5"E</t>
  </si>
  <si>
    <t>44°28'43.8"N</t>
  </si>
  <si>
    <t>Après repositionnement par l'IGN ce pas nomme un passage délicat.</t>
  </si>
  <si>
    <t>FR-04-2205</t>
  </si>
  <si>
    <t>Jas</t>
  </si>
  <si>
    <t>Pas du Jas</t>
  </si>
  <si>
    <t>3539E</t>
  </si>
  <si>
    <t>232-(001)</t>
  </si>
  <si>
    <t>320-4925-26-03</t>
  </si>
  <si>
    <t>006°46'10.5"E</t>
  </si>
  <si>
    <t>44°27'33.0"N</t>
  </si>
  <si>
    <t>Localisation incertaine et pas de col topographique évident.</t>
  </si>
  <si>
    <t>FR-05-0833</t>
  </si>
  <si>
    <t>Haut Forest</t>
  </si>
  <si>
    <t>Col de Haut Forest</t>
  </si>
  <si>
    <t>3439O</t>
  </si>
  <si>
    <t>066-157</t>
  </si>
  <si>
    <t>275-4920-21-24</t>
  </si>
  <si>
    <t>334-F06-018-065</t>
  </si>
  <si>
    <t>D210</t>
  </si>
  <si>
    <t>006°11'59.8"E</t>
  </si>
  <si>
    <t>44°25'15.3"N</t>
  </si>
  <si>
    <t>La topographie n'est pas celle d'un col.</t>
  </si>
  <si>
    <t>FR-05-0900</t>
  </si>
  <si>
    <t>Le Col</t>
  </si>
  <si>
    <t>058-077</t>
  </si>
  <si>
    <t>275-4930-17-45</t>
  </si>
  <si>
    <t>006°11'24.7"E</t>
  </si>
  <si>
    <t>44°31'46.2"N</t>
  </si>
  <si>
    <t>2010 - N°38</t>
  </si>
  <si>
    <t>Pas de caractères topographiques d'un col. La typographie utilisée n'est pas celle attribuée à un col sur les cartes IGN. L'article "Le" devant col indique le plus souvent une colline (de Collis = colline)</t>
  </si>
  <si>
    <t>FR-05-0905</t>
  </si>
  <si>
    <t>Collet</t>
  </si>
  <si>
    <t>Le Collet</t>
  </si>
  <si>
    <t>3238E</t>
  </si>
  <si>
    <t>208-020</t>
  </si>
  <si>
    <t>710-4925-15-34</t>
  </si>
  <si>
    <t>334-B06-084-107</t>
  </si>
  <si>
    <t>005°39'33.9"E</t>
  </si>
  <si>
    <t>44°28'39.9"N</t>
  </si>
  <si>
    <t>Une topographie trop incertaine</t>
  </si>
  <si>
    <t>FR-05-0921</t>
  </si>
  <si>
    <t>Col de la ~</t>
  </si>
  <si>
    <t>Plaine</t>
  </si>
  <si>
    <t>Col de la Plaine</t>
  </si>
  <si>
    <t>3338O</t>
  </si>
  <si>
    <t>135-115</t>
  </si>
  <si>
    <t>730-4935-24-37</t>
  </si>
  <si>
    <t>334-D05-050-047</t>
  </si>
  <si>
    <t>005°55'37.5"E</t>
  </si>
  <si>
    <t>44°33'49.5"N</t>
  </si>
  <si>
    <t>Col situé comme son nom l'indique… en plaine. Pas de caractère topographique d'un col.</t>
  </si>
  <si>
    <t>FR-05-1030</t>
  </si>
  <si>
    <t>Pas</t>
  </si>
  <si>
    <t>Le Pas</t>
  </si>
  <si>
    <t>3339O</t>
  </si>
  <si>
    <t>092-157</t>
  </si>
  <si>
    <t>725-4920-37-27</t>
  </si>
  <si>
    <t>005°52'20.9"E</t>
  </si>
  <si>
    <t>44°25'16.3"N</t>
  </si>
  <si>
    <t>1987 - N°15</t>
  </si>
  <si>
    <t>Pas de caractères topographiques d'un col. Il s'agit d'une gorge ou défilé.</t>
  </si>
  <si>
    <t>FR-05-1069</t>
  </si>
  <si>
    <t>122-139</t>
  </si>
  <si>
    <t>730-4920-17-10</t>
  </si>
  <si>
    <t>005°54'36.8"E</t>
  </si>
  <si>
    <t>44°24'18.4"N</t>
  </si>
  <si>
    <t>La Porte nomme une gorge et non un col.</t>
  </si>
  <si>
    <t>FR-05-1078</t>
  </si>
  <si>
    <t>Fayolle</t>
  </si>
  <si>
    <t>Pas de Fayolle</t>
  </si>
  <si>
    <t>109-146</t>
  </si>
  <si>
    <t>730-4920-04-16</t>
  </si>
  <si>
    <t>005°53'37.3"E</t>
  </si>
  <si>
    <t>44°24'40.9"N</t>
  </si>
  <si>
    <t>FR-05-1128</t>
  </si>
  <si>
    <t>Roche-Courbe</t>
  </si>
  <si>
    <t>Pas de Roche-Courbe</t>
  </si>
  <si>
    <t>098-153</t>
  </si>
  <si>
    <t>725-4920-43-23</t>
  </si>
  <si>
    <t>005°52'47.3"E</t>
  </si>
  <si>
    <t>FR-05-1215</t>
  </si>
  <si>
    <t>072-199</t>
  </si>
  <si>
    <t>725-4945-09-18</t>
  </si>
  <si>
    <t>334-D05-008-103</t>
  </si>
  <si>
    <t>005°50'52.4"E</t>
  </si>
  <si>
    <t>44°38'20.9"N</t>
  </si>
  <si>
    <t>FR-05-1245a</t>
  </si>
  <si>
    <t>Pousterle</t>
  </si>
  <si>
    <t>La Pousterle</t>
  </si>
  <si>
    <t>3538O</t>
  </si>
  <si>
    <t>070-166</t>
  </si>
  <si>
    <t>305-4940-18-25</t>
  </si>
  <si>
    <t>006°33'53.4"E</t>
  </si>
  <si>
    <t>44°36'34.3"N</t>
  </si>
  <si>
    <t>Ce toponyme ne nomme pas un col topogaphique</t>
  </si>
  <si>
    <t>FR-05-1255</t>
  </si>
  <si>
    <t>3537O</t>
  </si>
  <si>
    <t>130-003</t>
  </si>
  <si>
    <t>310-4945-30-09</t>
  </si>
  <si>
    <t>334-H05-075-106</t>
  </si>
  <si>
    <t>006°38'29.6"E</t>
  </si>
  <si>
    <t>44°38'33.2"N</t>
  </si>
  <si>
    <t>Lieu dit. Collet peut désigner la colline.</t>
  </si>
  <si>
    <t>FR-05-1630</t>
  </si>
  <si>
    <t>Barre</t>
  </si>
  <si>
    <t>Col de la Barre</t>
  </si>
  <si>
    <t>3338E</t>
  </si>
  <si>
    <t>183-145</t>
  </si>
  <si>
    <t>735-4940-22-18</t>
  </si>
  <si>
    <t>005°59'17.3"E</t>
  </si>
  <si>
    <t>44°35'26.8"N</t>
  </si>
  <si>
    <t>Non cartographié. Franchissement d'une ligne d'arrête. col dit de "flanc" Topographie insuffisante.</t>
  </si>
  <si>
    <t>FR-05-1811</t>
  </si>
  <si>
    <t>Manche</t>
  </si>
  <si>
    <t>Col de la Manche</t>
  </si>
  <si>
    <t>131-069</t>
  </si>
  <si>
    <t>730-4930-22-41</t>
  </si>
  <si>
    <t>005°55'18.5"E</t>
  </si>
  <si>
    <t>44°31'20.9"N</t>
  </si>
  <si>
    <t>Mentionné sur Guide de randonnée ONF non reconnu</t>
  </si>
  <si>
    <t>FR-05-2055</t>
  </si>
  <si>
    <t>Escalier</t>
  </si>
  <si>
    <t>Pas de l'Escalier</t>
  </si>
  <si>
    <t>3437O</t>
  </si>
  <si>
    <t>020-085</t>
  </si>
  <si>
    <t>270-4955-36-04</t>
  </si>
  <si>
    <t>006°08'30.2"E</t>
  </si>
  <si>
    <t>44°42'59.7"N</t>
  </si>
  <si>
    <t>Rupture de pente dans une combe. Pas de LPE et donc il ne s'agit pas d'un col.</t>
  </si>
  <si>
    <t>FR-05-2429</t>
  </si>
  <si>
    <t>Le col du ~</t>
  </si>
  <si>
    <t>Brunel</t>
  </si>
  <si>
    <t>Le col du Brunel</t>
  </si>
  <si>
    <t>090-122</t>
  </si>
  <si>
    <t>305-4935-37-30</t>
  </si>
  <si>
    <t>006°35'25.7"E</t>
  </si>
  <si>
    <t>44°34'11.9"N</t>
  </si>
  <si>
    <t>2009 - N°37</t>
  </si>
  <si>
    <t>Pas de caractères topographiques d'un col à l'emplacement du toponyme sur la carte. La typographie utilisée n'est pas celle attribuée à un col sur les cartes IGN. L'article "Le" devant col indique le plus souvent une hauteur (de Collis = colline). Le panneau directionnel traduit par "col Brunel".</t>
  </si>
  <si>
    <t>FR-05-2600a</t>
  </si>
  <si>
    <t>Batailler</t>
  </si>
  <si>
    <t>Pas de Batailler</t>
  </si>
  <si>
    <t>3637O</t>
  </si>
  <si>
    <t>046-115</t>
  </si>
  <si>
    <t>330-4955-34-16</t>
  </si>
  <si>
    <t>006°53'42.1"E</t>
  </si>
  <si>
    <t>44°44'36.6"N</t>
  </si>
  <si>
    <t>Simple passage au flanc de la montagne. Pas de caractères topographiques d'un col.</t>
  </si>
  <si>
    <t>FR-05-2695a</t>
  </si>
  <si>
    <t>Col du ~</t>
  </si>
  <si>
    <t>Petit Galibier</t>
  </si>
  <si>
    <t>Col du Petit Galibier</t>
  </si>
  <si>
    <t>3435E</t>
  </si>
  <si>
    <t>233-071</t>
  </si>
  <si>
    <t>295-4990-13-33</t>
  </si>
  <si>
    <t xml:space="preserve">S3-4(O) HS4(N) </t>
  </si>
  <si>
    <t>FR-73</t>
  </si>
  <si>
    <t>006°24'46.3"E</t>
  </si>
  <si>
    <t>45°03'48.7"N</t>
  </si>
  <si>
    <t>Erreur de positionnement. doublon avec le FR-05-2792 Col du Petit Galibier</t>
  </si>
  <si>
    <t>FR-05-2856</t>
  </si>
  <si>
    <t>Brèche de ~</t>
  </si>
  <si>
    <t>Marcel</t>
  </si>
  <si>
    <t>Brèche de Marcel</t>
  </si>
  <si>
    <t>032-029</t>
  </si>
  <si>
    <t>330-4945-17-30</t>
  </si>
  <si>
    <t>006°52'37.3"E</t>
  </si>
  <si>
    <t>44°39'56.7"N</t>
  </si>
  <si>
    <t>Un panneau d'information touristique n'est pas une source reconnue par le Club.</t>
  </si>
  <si>
    <t>FR-06-0227</t>
  </si>
  <si>
    <t>Baïsse</t>
  </si>
  <si>
    <t>La Baïsse</t>
  </si>
  <si>
    <t>3643O</t>
  </si>
  <si>
    <t>141-092</t>
  </si>
  <si>
    <t>335-4830-47-42</t>
  </si>
  <si>
    <t>341-D06-006-106</t>
  </si>
  <si>
    <t>D4/D3</t>
  </si>
  <si>
    <t>007°00'43.0"E</t>
  </si>
  <si>
    <t>43°38'35.0"N</t>
  </si>
  <si>
    <t>Ce toponyme n'indique pas le col mais un quartier.</t>
  </si>
  <si>
    <t>FR-06-0285</t>
  </si>
  <si>
    <t>142-(070)</t>
  </si>
  <si>
    <t>335-4835-48-29</t>
  </si>
  <si>
    <t>341-D05-007-008</t>
  </si>
  <si>
    <t>007°00'45.9"E</t>
  </si>
  <si>
    <t>43°40'37.6"N</t>
  </si>
  <si>
    <t>Ce collet désigne une colline</t>
  </si>
  <si>
    <t>FR-06-0300</t>
  </si>
  <si>
    <t>Dreiblanca</t>
  </si>
  <si>
    <t>Col de Dreiblanca</t>
  </si>
  <si>
    <t>3742O</t>
  </si>
  <si>
    <t>017-071</t>
  </si>
  <si>
    <t>355-4850-17-16</t>
  </si>
  <si>
    <t>007°13'06.6"E</t>
  </si>
  <si>
    <t>43°48'13.7"N</t>
  </si>
  <si>
    <t>L'intitulé "col" n'apparaît que sur les cadastres pour désigner tout un secteur. Il s'agit d'une mauvaise transcription de "colle" (colline) recueillie oralement. Aucun col topographique ne s'impose</t>
  </si>
  <si>
    <t>FR-06-0300a</t>
  </si>
  <si>
    <t>Col de ~
Colle de ~</t>
  </si>
  <si>
    <t>Liesse
Liesse</t>
  </si>
  <si>
    <t>Col de Liesse
Colle de Liesse</t>
  </si>
  <si>
    <t>020-075</t>
  </si>
  <si>
    <t>355-4850-20-21</t>
  </si>
  <si>
    <r>
      <t xml:space="preserve">S(E) </t>
    </r>
    <r>
      <rPr>
        <sz val="8"/>
        <color indexed="10"/>
        <rFont val="Arial"/>
        <family val="2"/>
      </rPr>
      <t>Interdit</t>
    </r>
  </si>
  <si>
    <t>007°13'17.9"E</t>
  </si>
  <si>
    <t>43°48'28.0"N</t>
  </si>
  <si>
    <t>L'intitulé "col" n'apparaît que sur les cadastres pour désigner tout un secteur. Il s'agit d'une mauvaise transcription de "colle" (colline) recueillie oralement. Aucun col topographique ne s'impose. La carte confirme en indiquant "colle"</t>
  </si>
  <si>
    <t>FR-06-0320</t>
  </si>
  <si>
    <t>Col ~</t>
  </si>
  <si>
    <t>Férier</t>
  </si>
  <si>
    <t>Col Férier</t>
  </si>
  <si>
    <t>023-082</t>
  </si>
  <si>
    <t>355-4850-22-27</t>
  </si>
  <si>
    <t>341-E05-031-109</t>
  </si>
  <si>
    <t>007°13'29.3"E</t>
  </si>
  <si>
    <t>43°48'49.9"N</t>
  </si>
  <si>
    <t>Il s'agit d'une colline. "Col" vient sans doute de "colle". transmis oralement et inscrit comme tel sur le cadastre.</t>
  </si>
  <si>
    <t>FR-06-0335</t>
  </si>
  <si>
    <t>Collet du ~</t>
  </si>
  <si>
    <t>Couvent</t>
  </si>
  <si>
    <t>Collet du Couvent</t>
  </si>
  <si>
    <t>022-079</t>
  </si>
  <si>
    <t>355-4850-21-24</t>
  </si>
  <si>
    <t>007°13'25.8"E</t>
  </si>
  <si>
    <t>43°48'40.0"N</t>
  </si>
  <si>
    <t>Ce "collet" est une colline (diminutif de "colle" du latin "collis c'est à dire "colline")</t>
  </si>
  <si>
    <t>FR-06-0336</t>
  </si>
  <si>
    <t>Dauphins</t>
  </si>
  <si>
    <t>Col des Dauphins</t>
  </si>
  <si>
    <t>022-071</t>
  </si>
  <si>
    <t>355-4850-21-16</t>
  </si>
  <si>
    <t>341-E05-031-102</t>
  </si>
  <si>
    <t>D1114</t>
  </si>
  <si>
    <t>007°13'26.2"E</t>
  </si>
  <si>
    <t>43°48'13.3"N</t>
  </si>
  <si>
    <t>FR-06-0390</t>
  </si>
  <si>
    <t>Galante</t>
  </si>
  <si>
    <t>Col de Galante</t>
  </si>
  <si>
    <t>026-083</t>
  </si>
  <si>
    <t>355-4850-25-29</t>
  </si>
  <si>
    <t>341-E05-033-110</t>
  </si>
  <si>
    <t>007°13'43.4"E</t>
  </si>
  <si>
    <t>43°48'54.5"N</t>
  </si>
  <si>
    <t>L'intitulé "col" n'apparaît que sur les cadastres pour désigner tout un secteur. C'est. très certainement. une mauvaise transcription de "colle" (colline) recueillie oralement. Comme il s'agit d'un lieu-dit habité d'une commune. son nom n'a pas pu être rectifié en Colle sur les cartes IGN (les noms des communes sont imuables) IGN a pu corriger. par exemple. FR-06-0300a de "Col" en "colle" car il ne s'agissait pas du nom d'un quartier d'une commune.</t>
  </si>
  <si>
    <t>FR-06-0432</t>
  </si>
  <si>
    <t>La Colle</t>
  </si>
  <si>
    <t>3742E</t>
  </si>
  <si>
    <t>145-043</t>
  </si>
  <si>
    <t>365-4845-44-36</t>
  </si>
  <si>
    <t>S2</t>
  </si>
  <si>
    <t>007°22'39.4"E</t>
  </si>
  <si>
    <t>43°46'43.4"N</t>
  </si>
  <si>
    <t>La Colle de la Madone désigne bien la colline et non un col topo.</t>
  </si>
  <si>
    <t>FR-06-0478a</t>
  </si>
  <si>
    <t>La Turbie</t>
  </si>
  <si>
    <t>164-007</t>
  </si>
  <si>
    <t>370-4840-12-49</t>
  </si>
  <si>
    <t>341-F05-036-059</t>
  </si>
  <si>
    <t>D2564</t>
  </si>
  <si>
    <t>007°24'02.7"E</t>
  </si>
  <si>
    <t>43°44'45.8"N</t>
  </si>
  <si>
    <t>Le nom de col de la Turbie n'apparaît sur aucune source reconnue par le Club. Il ne s'agit que d'un col topographique.</t>
  </si>
  <si>
    <t>FR-06-0524a</t>
  </si>
  <si>
    <t>Colle</t>
  </si>
  <si>
    <t>3641E</t>
  </si>
  <si>
    <t>252-030</t>
  </si>
  <si>
    <t>350-4865-16-26</t>
  </si>
  <si>
    <t>341-D04-081-084</t>
  </si>
  <si>
    <t>D26</t>
  </si>
  <si>
    <t>007°09'04.6"E</t>
  </si>
  <si>
    <t>43°56'48.5"N</t>
  </si>
  <si>
    <t>Nomme un sommet comme souvent dans cette région</t>
  </si>
  <si>
    <t>FR-06-0555a</t>
  </si>
  <si>
    <t>Col d'~</t>
  </si>
  <si>
    <t>Erc</t>
  </si>
  <si>
    <t>Col d'Erc</t>
  </si>
  <si>
    <t>206-128</t>
  </si>
  <si>
    <t>375-4855-07-19</t>
  </si>
  <si>
    <t>341-F04-065-016</t>
  </si>
  <si>
    <t>D2566</t>
  </si>
  <si>
    <t>007°27'14.3"E</t>
  </si>
  <si>
    <t>43°51'17.7"N</t>
  </si>
  <si>
    <t>Col d'Erc n'est pas classé comme étant un col dans la Bdnyme de l'IGN. c'est un lieu habité dont le nom doit provenir de "colle d'Erc" (colline d'Erc). Ceci a été transcrit sur les premiers cadastres en "col d'Erc". Le nom n'a pas été rectifié sur les cartes d'aujourd'hui car le nom d'une zone habitée est imuable.</t>
  </si>
  <si>
    <t>FR-06-0560</t>
  </si>
  <si>
    <t>Passo ~</t>
  </si>
  <si>
    <t>Masca</t>
  </si>
  <si>
    <t>Passo Masca</t>
  </si>
  <si>
    <t>263-193</t>
  </si>
  <si>
    <t>380-4860-16-33</t>
  </si>
  <si>
    <t>007°31'30.8"E</t>
  </si>
  <si>
    <t>43°54'49.2"N</t>
  </si>
  <si>
    <t>FR-06-0590</t>
  </si>
  <si>
    <t>Passeron</t>
  </si>
  <si>
    <t>Collet du Passeron</t>
  </si>
  <si>
    <t>3642E</t>
  </si>
  <si>
    <t>270-129</t>
  </si>
  <si>
    <t>350-4855-32-25</t>
  </si>
  <si>
    <t>341-E04-003-017</t>
  </si>
  <si>
    <t>D27</t>
  </si>
  <si>
    <t>007°10'23.1"E</t>
  </si>
  <si>
    <t>43°51'22.4"N</t>
  </si>
  <si>
    <t>Ce Collet est une colline.</t>
  </si>
  <si>
    <t>FR-06-0675</t>
  </si>
  <si>
    <t>Collet ~</t>
  </si>
  <si>
    <t>Assou</t>
  </si>
  <si>
    <t>Collet Assou</t>
  </si>
  <si>
    <t>004-(052)</t>
  </si>
  <si>
    <t>325-4840-11-01</t>
  </si>
  <si>
    <t>341-C05-004-020</t>
  </si>
  <si>
    <t>D5</t>
  </si>
  <si>
    <t>006°50'29.5"E</t>
  </si>
  <si>
    <t>43°41'35.7"N</t>
  </si>
  <si>
    <t>Il s'agit d'un sommet à 699 m et non d'un col. "Collet" désigne dans la plupart des cas. un sommet dans les départements du sud de la France (vient du latin "collis" qui signifie colline)</t>
  </si>
  <si>
    <t>FR-06-0980b</t>
  </si>
  <si>
    <t>3643E</t>
  </si>
  <si>
    <t>174-198</t>
  </si>
  <si>
    <t>340-4840-32-47</t>
  </si>
  <si>
    <t>007°03'09.6"E</t>
  </si>
  <si>
    <t>43°44'19.2"N</t>
  </si>
  <si>
    <t>Baïsse ne semble pas désigner un col. La typographie utilisée n'est pas celle qui indique un col.</t>
  </si>
  <si>
    <t>FR-06-0995</t>
  </si>
  <si>
    <t>Collet de ~</t>
  </si>
  <si>
    <t>Jacques</t>
  </si>
  <si>
    <t>Collet de Jacques</t>
  </si>
  <si>
    <t>3542E</t>
  </si>
  <si>
    <t>246-150</t>
  </si>
  <si>
    <t>320-4860-19-04</t>
  </si>
  <si>
    <t>006°47'00.4"E</t>
  </si>
  <si>
    <t>43°52'31.5"N</t>
  </si>
  <si>
    <t>Comme souvent dans le 06. collet désigne un sommet et non un col.</t>
  </si>
  <si>
    <t>FR-06-1021a</t>
  </si>
  <si>
    <t>Boièra</t>
  </si>
  <si>
    <t>Collet de Boièra</t>
  </si>
  <si>
    <t>064-185</t>
  </si>
  <si>
    <t>360-4860-16-29</t>
  </si>
  <si>
    <t>007°16'35.5"E</t>
  </si>
  <si>
    <t>43°54'23.3"N</t>
  </si>
  <si>
    <t>1993 - N°21</t>
  </si>
  <si>
    <t>Collet désigne le sommet à 1021m</t>
  </si>
  <si>
    <t>FR-06-1030a</t>
  </si>
  <si>
    <t>le ~</t>
  </si>
  <si>
    <t>le Pas</t>
  </si>
  <si>
    <t>272-166</t>
  </si>
  <si>
    <t>320-4860-45-19</t>
  </si>
  <si>
    <t>006°48'55.8"E</t>
  </si>
  <si>
    <t>43°53'22.4"N</t>
  </si>
  <si>
    <t>Nomination indirecte "Vallon du Pas" Ce pas pourrait correspondre à un col topographique non nommé</t>
  </si>
  <si>
    <t>FR-06-1046</t>
  </si>
  <si>
    <t>Pater Noster</t>
  </si>
  <si>
    <t>Collet de Pater Noster</t>
  </si>
  <si>
    <t>183-039</t>
  </si>
  <si>
    <t>340-4845-42-37</t>
  </si>
  <si>
    <t>007°03'50.6"E</t>
  </si>
  <si>
    <t>43°46'30.2"N</t>
  </si>
  <si>
    <t>Il s'agit d'un sommet à 1111 m et non d'un col. Dans le SE de la France. "Collet" désigne dans la plupart des cas. un sommet. Collet est le dinimutif de "colle" qui vient de "collis". c'est-à-dire "colline"</t>
  </si>
  <si>
    <t>FR-06-1050</t>
  </si>
  <si>
    <t>Collet de la ~</t>
  </si>
  <si>
    <t>Claye</t>
  </si>
  <si>
    <t>Collet de la Claye</t>
  </si>
  <si>
    <t>272-164</t>
  </si>
  <si>
    <t>320-4860-46-17</t>
  </si>
  <si>
    <t>006°48'59.4"E</t>
  </si>
  <si>
    <t>43°53'16.4"N</t>
  </si>
  <si>
    <t>1990 - N°18</t>
  </si>
  <si>
    <t>Il s'agit d'un sommet et non d'un col. Collet est le dinimutif de "colle" qui vient de "collis". c'est-à-dire "colline"</t>
  </si>
  <si>
    <t>FR-06-1109</t>
  </si>
  <si>
    <t>Bouche de ~</t>
  </si>
  <si>
    <t>Lanes</t>
  </si>
  <si>
    <t>Bouche de Lanes</t>
  </si>
  <si>
    <t>237-123</t>
  </si>
  <si>
    <t>375-4855-38-14</t>
  </si>
  <si>
    <t>007°29'30.4"E</t>
  </si>
  <si>
    <t>Doublon de Bouche de Lunas FR-06-1105</t>
  </si>
  <si>
    <t>FR-06-1180</t>
  </si>
  <si>
    <t>Luc</t>
  </si>
  <si>
    <t>Col de Luc</t>
  </si>
  <si>
    <t>3640E</t>
  </si>
  <si>
    <t>221-002</t>
  </si>
  <si>
    <t>345-4880-40-49</t>
  </si>
  <si>
    <t>007°06'48.5"E</t>
  </si>
  <si>
    <t>44°06'05.5"N</t>
  </si>
  <si>
    <t>1992 - N°20</t>
  </si>
  <si>
    <t>La typographie n'est pas celle utilisée sur les cartes pour nommer un col. La topographie n'est pas celle d'un col. Sans doute Col de Luc est la transcription erronée de "colle de Luc". c'est-à-dire colline de Luc.</t>
  </si>
  <si>
    <t>FR-06-1255</t>
  </si>
  <si>
    <t>Giraud</t>
  </si>
  <si>
    <t>Collet de Giraud</t>
  </si>
  <si>
    <t>167-054</t>
  </si>
  <si>
    <t>340-4870-32-02</t>
  </si>
  <si>
    <t>R1-2(N)</t>
  </si>
  <si>
    <t>007°02'44.5"E</t>
  </si>
  <si>
    <t>43°58'07.0"N</t>
  </si>
  <si>
    <t>Collet de Giraud ne s'applique pas au col topographique (nommé Sueil). Collet. dans les départements du SE de la France. nomme souvent une hauteur. Il s'agit du diminutif de "colle" qui vient du latin "collis" qui signifie colline.</t>
  </si>
  <si>
    <t>FR-06-1315</t>
  </si>
  <si>
    <t>Péron</t>
  </si>
  <si>
    <t>Collet de Péron</t>
  </si>
  <si>
    <t>078-182</t>
  </si>
  <si>
    <t>360-4860-30-26</t>
  </si>
  <si>
    <t>007°17'36.4"E</t>
  </si>
  <si>
    <t>43°54'12.6"N</t>
  </si>
  <si>
    <t>Il s'agit d'un sommet à 1315 m et non d'un col. "Collet" désigne. dans la plupart des cas. un sommet dans les départements du sud-est de la France. Il s'agit du diminutif de "colle" qui vient du latin "collis" qui signifie colline.</t>
  </si>
  <si>
    <t>FR-06-1348</t>
  </si>
  <si>
    <t>Villa Souberre</t>
  </si>
  <si>
    <t>Col Villa Souberre</t>
  </si>
  <si>
    <t>179-078</t>
  </si>
  <si>
    <t>340-4870-45-27</t>
  </si>
  <si>
    <t>R1(SO)</t>
  </si>
  <si>
    <t>007°03'37.3"E</t>
  </si>
  <si>
    <t>43°59'26.1"N</t>
  </si>
  <si>
    <t>FR-06-1459</t>
  </si>
  <si>
    <t>~ Le
~</t>
  </si>
  <si>
    <t>Colletas 
Couletas</t>
  </si>
  <si>
    <t>Colletas 
Le Couletas</t>
  </si>
  <si>
    <t>3641O</t>
  </si>
  <si>
    <t>055-188</t>
  </si>
  <si>
    <t>330-4880-24-39</t>
  </si>
  <si>
    <t>341-C03-039-066</t>
  </si>
  <si>
    <t>006°54'22.2"E</t>
  </si>
  <si>
    <t>44°05'20.6"N</t>
  </si>
  <si>
    <t>Désigne une colline</t>
  </si>
  <si>
    <t>FR-06-1636</t>
  </si>
  <si>
    <t>Loup</t>
  </si>
  <si>
    <t>Collet du Loup</t>
  </si>
  <si>
    <t>3841O</t>
  </si>
  <si>
    <t>090-134</t>
  </si>
  <si>
    <t>390-4875-33-23</t>
  </si>
  <si>
    <t>007°40'07.6"E</t>
  </si>
  <si>
    <t>44°02'27.7"N</t>
  </si>
  <si>
    <t>2014 - N°42</t>
  </si>
  <si>
    <t>Collet désigne. la plupart du temps. une colline. La carte IGN et la Bdnyme ne pointent pas sur un col topographique mais su rle versant de la montagne. Rien ne permet d'affirmer qu'on soit en présence d'un col.</t>
  </si>
  <si>
    <t>FR-06-1694a</t>
  </si>
  <si>
    <t>Mantia</t>
  </si>
  <si>
    <t>Collet Mantia</t>
  </si>
  <si>
    <t>167-075</t>
  </si>
  <si>
    <t>340-4890-38-24</t>
  </si>
  <si>
    <t>R-GR</t>
  </si>
  <si>
    <t>007°02'45.4"E</t>
  </si>
  <si>
    <t>44°10'04.4"N</t>
  </si>
  <si>
    <t>Beaucoup trop d'incertitude sur le positionnement. ce collet désigne plutôt un sommet.</t>
  </si>
  <si>
    <t>FR-06-1760</t>
  </si>
  <si>
    <t>Sen</t>
  </si>
  <si>
    <t>Collet de Sen</t>
  </si>
  <si>
    <t>278-046</t>
  </si>
  <si>
    <t>325-4885-10-49</t>
  </si>
  <si>
    <t>GR</t>
  </si>
  <si>
    <t>006°49'30.2"E</t>
  </si>
  <si>
    <t>44°08'29.7"N</t>
  </si>
  <si>
    <t>Collet désigne la plupart du temps une colline. Le col n'est pas assez présent topographiquement pour prouver le contraire.</t>
  </si>
  <si>
    <t>FR-06-1775</t>
  </si>
  <si>
    <t>Carinette</t>
  </si>
  <si>
    <t>Col de la Carinette</t>
  </si>
  <si>
    <t>3741E</t>
  </si>
  <si>
    <t>150-056</t>
  </si>
  <si>
    <t>370-4865-04-48</t>
  </si>
  <si>
    <r>
      <t xml:space="preserve">R-GR52A </t>
    </r>
    <r>
      <rPr>
        <sz val="8"/>
        <color indexed="10"/>
        <rFont val="Arial"/>
        <family val="2"/>
      </rPr>
      <t>Interdit</t>
    </r>
  </si>
  <si>
    <t>007°23'02.2"E</t>
  </si>
  <si>
    <t>43°58'12.6"N</t>
  </si>
  <si>
    <t>L'emplacement indiqué par le cadastre ne correspond pas à celui d'un col. Il se peut que l'inscription ait été décalée mais on ne peut pas en juger.</t>
  </si>
  <si>
    <t>FR-06-2198</t>
  </si>
  <si>
    <t>Mattet</t>
  </si>
  <si>
    <t>Collet Mattet</t>
  </si>
  <si>
    <t>3640O</t>
  </si>
  <si>
    <t>119-086</t>
  </si>
  <si>
    <t>335-4890-40-35</t>
  </si>
  <si>
    <t>006°59'09.5"E</t>
  </si>
  <si>
    <t>44°10'38.3"N</t>
  </si>
  <si>
    <t>1988 - N°16</t>
  </si>
  <si>
    <t>Il s'agit d'un sommet à 2198 m et non d'un col. "Collet" désigne. dans la plupart des cas. un sommet dans les départements du sud-est de la France. Il s'agit du diminutif de "colle" qui vient du latin "collis" qui signifie colline.</t>
  </si>
  <si>
    <t>FR-06-2435</t>
  </si>
  <si>
    <t>Col de l'~</t>
  </si>
  <si>
    <t>Aspre</t>
  </si>
  <si>
    <t>Col de l'Aspre</t>
  </si>
  <si>
    <t>267-083</t>
  </si>
  <si>
    <t>325-4890-00-36</t>
  </si>
  <si>
    <r>
      <t xml:space="preserve">GR </t>
    </r>
    <r>
      <rPr>
        <sz val="8"/>
        <color indexed="10"/>
        <rFont val="Arial"/>
        <family val="2"/>
      </rPr>
      <t>Interdit</t>
    </r>
  </si>
  <si>
    <t>006°48'39.3"E</t>
  </si>
  <si>
    <t>44°10'29.1"N</t>
  </si>
  <si>
    <t>FR-06-2580a</t>
  </si>
  <si>
    <t>Colle ~</t>
  </si>
  <si>
    <t>Leccia</t>
  </si>
  <si>
    <t>Colle Leccia</t>
  </si>
  <si>
    <t>3740O</t>
  </si>
  <si>
    <t>066-043</t>
  </si>
  <si>
    <t>360-4885-24-37</t>
  </si>
  <si>
    <t>007°16'44.8"E</t>
  </si>
  <si>
    <t>44°08'19.1"N</t>
  </si>
  <si>
    <t>Toponyme présent sur la carte IGN de 1950. positionement incertain. Colle pourrait désigner la cime.</t>
  </si>
  <si>
    <t>FR-07-0180</t>
  </si>
  <si>
    <t>Baisse de ~</t>
  </si>
  <si>
    <t>Chabaud</t>
  </si>
  <si>
    <t>Baisse de Chabaud</t>
  </si>
  <si>
    <t>2939O</t>
  </si>
  <si>
    <t>030-172</t>
  </si>
  <si>
    <t>605-4920-28-11</t>
  </si>
  <si>
    <t>004°21'14.6"E</t>
  </si>
  <si>
    <t>44°26'05.9"N</t>
  </si>
  <si>
    <t>Ne désigne pas un col topographique</t>
  </si>
  <si>
    <t>FR-07-0229</t>
  </si>
  <si>
    <t>Avelats</t>
  </si>
  <si>
    <t>Col des Avelats</t>
  </si>
  <si>
    <t>2839E</t>
  </si>
  <si>
    <t>167-079</t>
  </si>
  <si>
    <t>590-4910-30-15</t>
  </si>
  <si>
    <t>331-H07-000-013</t>
  </si>
  <si>
    <t>D901/D104</t>
  </si>
  <si>
    <t>004°10'02.6"E</t>
  </si>
  <si>
    <t>44°21'02.2"N</t>
  </si>
  <si>
    <t>Caractères topographiques peu marqués et source unique (guide) jugée peu fiable</t>
  </si>
  <si>
    <t>FR-07-0231</t>
  </si>
  <si>
    <t>Grange</t>
  </si>
  <si>
    <t>Col de la Grange</t>
  </si>
  <si>
    <t>2938O</t>
  </si>
  <si>
    <t>027-069</t>
  </si>
  <si>
    <t>605-4930-23-08</t>
  </si>
  <si>
    <t>331-I06-009-017</t>
  </si>
  <si>
    <t>D294</t>
  </si>
  <si>
    <t>004°21'03.0"E</t>
  </si>
  <si>
    <t>44°31'20.8"N</t>
  </si>
  <si>
    <t>Lieu-dit nommé "col" sur les parcours de l'Ardéchoise. Aucune référence sur carte ou cadastre. Non nommé "col" localement. Contredit l'art. 4 de la règle du jeu.</t>
  </si>
  <si>
    <t>FR-07-0245</t>
  </si>
  <si>
    <t>Renard</t>
  </si>
  <si>
    <t>Pas du Renard</t>
  </si>
  <si>
    <t>075-100</t>
  </si>
  <si>
    <t>610-4910-24-40</t>
  </si>
  <si>
    <t>004°24'37.5"E</t>
  </si>
  <si>
    <t>44°22'13.0"N</t>
  </si>
  <si>
    <t>Passage non topographique</t>
  </si>
  <si>
    <t>FR-07-0270</t>
  </si>
  <si>
    <t>Coulet</t>
  </si>
  <si>
    <t>Le Coulet</t>
  </si>
  <si>
    <t>3036O</t>
  </si>
  <si>
    <t>129-174</t>
  </si>
  <si>
    <t>645-4980-01-20</t>
  </si>
  <si>
    <t>331-L04-004-106</t>
  </si>
  <si>
    <t>CV/GR</t>
  </si>
  <si>
    <t>004°50'25.9"E</t>
  </si>
  <si>
    <t>44°58'36.3"N</t>
  </si>
  <si>
    <t>Ce Coulet désigne plutôt le hameau. Si col il y a. il pourrait s'appeler Coulée mais cet intitulé n'est pas reconnu.</t>
  </si>
  <si>
    <t>FR-07-0275a</t>
  </si>
  <si>
    <t>Figeyrolle</t>
  </si>
  <si>
    <t>Col de la Figeyrolle</t>
  </si>
  <si>
    <t>095-070</t>
  </si>
  <si>
    <t>610-4930-42-10</t>
  </si>
  <si>
    <t>331-I06-055-017</t>
  </si>
  <si>
    <t>004°26'12.3"E</t>
  </si>
  <si>
    <t>44°31'22.5"N</t>
  </si>
  <si>
    <t>FR-07-0323</t>
  </si>
  <si>
    <t>Serre de Tourre</t>
  </si>
  <si>
    <t>Col du Serre de Tourre</t>
  </si>
  <si>
    <t>097-104</t>
  </si>
  <si>
    <t>610-4910-47-44</t>
  </si>
  <si>
    <t>331-I07-056-030</t>
  </si>
  <si>
    <t>D290</t>
  </si>
  <si>
    <t>004°26'20.8"E</t>
  </si>
  <si>
    <t>44°22'26.5"N</t>
  </si>
  <si>
    <t>FR-07-0360a</t>
  </si>
  <si>
    <t>Brunieux</t>
  </si>
  <si>
    <t>Col de Brunieux</t>
  </si>
  <si>
    <t>3034O</t>
  </si>
  <si>
    <t>077-096</t>
  </si>
  <si>
    <t>635-5010-43-40</t>
  </si>
  <si>
    <t>331-K02-057-074</t>
  </si>
  <si>
    <t>D406</t>
  </si>
  <si>
    <t>004°46'31.0"E</t>
  </si>
  <si>
    <t>45°15'57.9"N</t>
  </si>
  <si>
    <t>FR-07-0363</t>
  </si>
  <si>
    <t>Forestière</t>
  </si>
  <si>
    <t>Col de la Forestière</t>
  </si>
  <si>
    <t>080-052</t>
  </si>
  <si>
    <t>610-4905-30-42</t>
  </si>
  <si>
    <t>331-I08-044-119</t>
  </si>
  <si>
    <t>D217</t>
  </si>
  <si>
    <t>004°25'00.1"E</t>
  </si>
  <si>
    <t>44°19'36.7"N</t>
  </si>
  <si>
    <t>FR-07-0415</t>
  </si>
  <si>
    <t>Mazel</t>
  </si>
  <si>
    <t>Col du Mazel</t>
  </si>
  <si>
    <t>2839O</t>
  </si>
  <si>
    <t>142-092</t>
  </si>
  <si>
    <t>590-4910-04-28</t>
  </si>
  <si>
    <t>331-G07-072-022</t>
  </si>
  <si>
    <t>004°08'05.3"E</t>
  </si>
  <si>
    <t>44°21'46.6"N</t>
  </si>
  <si>
    <t>FR-07-0431</t>
  </si>
  <si>
    <t>Lacol</t>
  </si>
  <si>
    <t>2937E</t>
  </si>
  <si>
    <t>(042)-164</t>
  </si>
  <si>
    <t>625-4960-34-07</t>
  </si>
  <si>
    <t>331-J05-065-090</t>
  </si>
  <si>
    <t>D2/D265</t>
  </si>
  <si>
    <t>004°37'23.6"E</t>
  </si>
  <si>
    <t>44°47'16.8"N</t>
  </si>
  <si>
    <t>Toponyme trop incertain</t>
  </si>
  <si>
    <t>FR-07-0435</t>
  </si>
  <si>
    <t>~ Tracol</t>
  </si>
  <si>
    <t>le Grand</t>
  </si>
  <si>
    <t>le Grand Tracol</t>
  </si>
  <si>
    <t>090-101</t>
  </si>
  <si>
    <t>640-4970-14-46</t>
  </si>
  <si>
    <t>004°47'27.8"E</t>
  </si>
  <si>
    <t>44°54'38.4"N</t>
  </si>
  <si>
    <t>Le Grand Tracol désigne des ruines qui ne sontpas sur un col topographique</t>
  </si>
  <si>
    <t>FR-07-0458a</t>
  </si>
  <si>
    <t>Boze</t>
  </si>
  <si>
    <t>Col de Boze</t>
  </si>
  <si>
    <t>2935E</t>
  </si>
  <si>
    <t>273-074</t>
  </si>
  <si>
    <t>630-4990-11-17</t>
  </si>
  <si>
    <t>331-J03-086-049</t>
  </si>
  <si>
    <t>D234/D578</t>
  </si>
  <si>
    <t>004°39'53.5"E</t>
  </si>
  <si>
    <t>45°03'59.7"N</t>
  </si>
  <si>
    <t>FR-07-0462</t>
  </si>
  <si>
    <t>3035O</t>
  </si>
  <si>
    <t>051-127</t>
  </si>
  <si>
    <t>635-4995-20-21</t>
  </si>
  <si>
    <t>331-K03-039-085</t>
  </si>
  <si>
    <t>004°44'29.3"E</t>
  </si>
  <si>
    <t>45°06'52.3"N</t>
  </si>
  <si>
    <t>FR-07-0507</t>
  </si>
  <si>
    <t>Planzolles</t>
  </si>
  <si>
    <t>Col de Planzolles</t>
  </si>
  <si>
    <t>2838E</t>
  </si>
  <si>
    <t>156-029</t>
  </si>
  <si>
    <t>590-4925-17-15</t>
  </si>
  <si>
    <t>331-G07-081-113</t>
  </si>
  <si>
    <t>D4/D250</t>
  </si>
  <si>
    <t>004°09'12.4"E</t>
  </si>
  <si>
    <t>44°29'09.6"N</t>
  </si>
  <si>
    <t>FR-07-0530</t>
  </si>
  <si>
    <t>Cols</t>
  </si>
  <si>
    <t>2936E</t>
  </si>
  <si>
    <t>085-014</t>
  </si>
  <si>
    <t>620-4965-40-06</t>
  </si>
  <si>
    <t>331-J05-036-123</t>
  </si>
  <si>
    <t>004°34'07.0"E</t>
  </si>
  <si>
    <t>44°49'58.5"N</t>
  </si>
  <si>
    <t>Désigne un lieu-dit habité. pas de topographie correspondant à un col.</t>
  </si>
  <si>
    <t>FR-07-0610</t>
  </si>
  <si>
    <t>Burianne</t>
  </si>
  <si>
    <t>Col de Burianne</t>
  </si>
  <si>
    <t>2936O</t>
  </si>
  <si>
    <t>(160)-079</t>
  </si>
  <si>
    <t>615-4970-14-19</t>
  </si>
  <si>
    <t>331-I04-074-043</t>
  </si>
  <si>
    <t>D264/D277</t>
  </si>
  <si>
    <t>004°28'26.4"E</t>
  </si>
  <si>
    <t>44°53'29.2"N</t>
  </si>
  <si>
    <t>FR-07-0660</t>
  </si>
  <si>
    <t>Coullet</t>
  </si>
  <si>
    <t>Le Coullet</t>
  </si>
  <si>
    <t>2937O</t>
  </si>
  <si>
    <t>057-088</t>
  </si>
  <si>
    <t>605-4950-50-26</t>
  </si>
  <si>
    <t>331-I05-029-039</t>
  </si>
  <si>
    <t>D318</t>
  </si>
  <si>
    <t>004°23'18.5"E</t>
  </si>
  <si>
    <t>44°43'07.7"N</t>
  </si>
  <si>
    <t>Pas de caractères topographiques d'un col à l'emplacement du panneau. Coulet désigne le passage dans une combe.</t>
  </si>
  <si>
    <t>FR-07-0688</t>
  </si>
  <si>
    <t>Tauzuc</t>
  </si>
  <si>
    <t>Col de Tauzuc</t>
  </si>
  <si>
    <t>(129)-191</t>
  </si>
  <si>
    <t>615-4960-46-32</t>
  </si>
  <si>
    <t>331-J05-007-108</t>
  </si>
  <si>
    <t>D8/D211</t>
  </si>
  <si>
    <t>004°30'46.5"E</t>
  </si>
  <si>
    <t>44°48'44.3"N</t>
  </si>
  <si>
    <t>Lieu-dit nommé "col" sur les parcours de l'Ardéchoise. Aucune référence sur carte ou cadastre. Non nommé "col" localement. Contredit l'art. 4 de la règle du jeu. Par ailleurs. il n'y a aucun col à l'emplacement du panneau.</t>
  </si>
  <si>
    <t>FR-07-0694a</t>
  </si>
  <si>
    <t>Chalencon</t>
  </si>
  <si>
    <t>(080)-062</t>
  </si>
  <si>
    <t>620-4970-44-04</t>
  </si>
  <si>
    <t>331-J04-039-032</t>
  </si>
  <si>
    <t>D241/D364</t>
  </si>
  <si>
    <t>004°34'29.3"E</t>
  </si>
  <si>
    <t>44°52'34.4"N</t>
  </si>
  <si>
    <t>FR-07-0705</t>
  </si>
  <si>
    <t>(129)-106</t>
  </si>
  <si>
    <t>615-4970-44-47</t>
  </si>
  <si>
    <t>331-J04-007-061</t>
  </si>
  <si>
    <t>D241a</t>
  </si>
  <si>
    <t>004°30'46.7"E</t>
  </si>
  <si>
    <t>44°54'56.6"N</t>
  </si>
  <si>
    <t>Coulet désigne ici un passage étroit. Pas de topographie rappelant celle d'un  col.</t>
  </si>
  <si>
    <t>FR-07-0746</t>
  </si>
  <si>
    <t>Bois de Roche</t>
  </si>
  <si>
    <t>Col du Bois de Roche</t>
  </si>
  <si>
    <t>2934E</t>
  </si>
  <si>
    <t>(047)-040</t>
  </si>
  <si>
    <t>625-5005-19-32</t>
  </si>
  <si>
    <t>004°36'59.0"E</t>
  </si>
  <si>
    <t>45°12'56.1"N</t>
  </si>
  <si>
    <t>FR-07-0752</t>
  </si>
  <si>
    <t>Lande</t>
  </si>
  <si>
    <t>Coulet de Lande</t>
  </si>
  <si>
    <t>041-111</t>
  </si>
  <si>
    <t>605-4950-33-50</t>
  </si>
  <si>
    <t>R1-2-GR</t>
  </si>
  <si>
    <t>004°22'06.1"E</t>
  </si>
  <si>
    <t>44°44'24.2"N</t>
  </si>
  <si>
    <t>Localisation incertaine.</t>
  </si>
  <si>
    <t>FR-07-0841</t>
  </si>
  <si>
    <t>Saint-Martial</t>
  </si>
  <si>
    <t>2836E</t>
  </si>
  <si>
    <t>256-049</t>
  </si>
  <si>
    <t>600-4965-12-37</t>
  </si>
  <si>
    <t>331-H04-060-023</t>
  </si>
  <si>
    <t>D215/D237</t>
  </si>
  <si>
    <t>004°16'53.8"E</t>
  </si>
  <si>
    <t>44°51'51.4"N</t>
  </si>
  <si>
    <t>FR-07-0845</t>
  </si>
  <si>
    <t>Echelette</t>
  </si>
  <si>
    <t>Col de l'Echelette</t>
  </si>
  <si>
    <t>2838O</t>
  </si>
  <si>
    <t>079-054</t>
  </si>
  <si>
    <t>580-4925-39-39</t>
  </si>
  <si>
    <t>331-G06-030-006</t>
  </si>
  <si>
    <t>D4/D220</t>
  </si>
  <si>
    <t>004°03'21.7"E</t>
  </si>
  <si>
    <t>44°30'29.3"N</t>
  </si>
  <si>
    <t>FR-07-0890a</t>
  </si>
  <si>
    <t>Croix Blanche</t>
  </si>
  <si>
    <t>Col de la Croix Blanche</t>
  </si>
  <si>
    <t>087-048</t>
  </si>
  <si>
    <t>580-4925-48-34</t>
  </si>
  <si>
    <t>331-G06-035-003</t>
  </si>
  <si>
    <t>D4/R</t>
  </si>
  <si>
    <t>004°03'59.3"E</t>
  </si>
  <si>
    <t>44°30'13.0"N</t>
  </si>
  <si>
    <t>FR-07-0891</t>
  </si>
  <si>
    <t>Rochepaule</t>
  </si>
  <si>
    <t>2935O</t>
  </si>
  <si>
    <t>(173)-086</t>
  </si>
  <si>
    <t>610-4990-46-25</t>
  </si>
  <si>
    <t>331-I03-064-057</t>
  </si>
  <si>
    <t>D214/D314</t>
  </si>
  <si>
    <t>004°27'21.5"E</t>
  </si>
  <si>
    <t>45°04'37.3"N</t>
  </si>
  <si>
    <t>FR-07-0914</t>
  </si>
  <si>
    <t>La Berche</t>
  </si>
  <si>
    <t>(236)-105</t>
  </si>
  <si>
    <t>605-4970-36-44</t>
  </si>
  <si>
    <t>004°22'34.6"E</t>
  </si>
  <si>
    <t>44°54'52.2"N</t>
  </si>
  <si>
    <t>"la Berche" désigne plutôt une ancienne ferme proche du col géographique (Berche = métathèse de Brèche)</t>
  </si>
  <si>
    <t>FR-07-0995</t>
  </si>
  <si>
    <t>Roche des Vents</t>
  </si>
  <si>
    <t>Col de la Roche des Vents</t>
  </si>
  <si>
    <t>(062)-012</t>
  </si>
  <si>
    <t>625-5005-05-04</t>
  </si>
  <si>
    <t>R1-2(E). R1(O)</t>
  </si>
  <si>
    <t>004°35'53.0"E</t>
  </si>
  <si>
    <t>45°11'26.7"N</t>
  </si>
  <si>
    <t>La source (panneau de randonnées) n'a pas été jugée suffisante.</t>
  </si>
  <si>
    <t>FR-07-1009</t>
  </si>
  <si>
    <t>Col les ~</t>
  </si>
  <si>
    <t>Grands</t>
  </si>
  <si>
    <t>Col les Grands</t>
  </si>
  <si>
    <t>(131)-123</t>
  </si>
  <si>
    <t>615-4995-37-13</t>
  </si>
  <si>
    <t>331-J03-005-082</t>
  </si>
  <si>
    <t>D214/CV</t>
  </si>
  <si>
    <t>004°30'32.7"E</t>
  </si>
  <si>
    <t>45°06'38.0"N</t>
  </si>
  <si>
    <t>FR-07-1060</t>
  </si>
  <si>
    <t>Maupas</t>
  </si>
  <si>
    <t>Le Maupas</t>
  </si>
  <si>
    <t>(186)-176</t>
  </si>
  <si>
    <t>610-4980-36-16</t>
  </si>
  <si>
    <t>331-I04-056-108</t>
  </si>
  <si>
    <t>CV(O)</t>
  </si>
  <si>
    <t>004°26'26.0"E</t>
  </si>
  <si>
    <t>44°58'43.3"N</t>
  </si>
  <si>
    <t>FR-07-1079</t>
  </si>
  <si>
    <t>Teste Rouge</t>
  </si>
  <si>
    <t>Col de Teste Rouge</t>
  </si>
  <si>
    <t>037-083</t>
  </si>
  <si>
    <t>575-4930-48-17</t>
  </si>
  <si>
    <t>331-G06-002-025</t>
  </si>
  <si>
    <t>004°00'14.0"E</t>
  </si>
  <si>
    <t>44°32'03.6"N</t>
  </si>
  <si>
    <t>FR-07-1080</t>
  </si>
  <si>
    <t>Lalouvesc</t>
  </si>
  <si>
    <t>Col de Lalouvesc</t>
  </si>
  <si>
    <t>(110)-132</t>
  </si>
  <si>
    <t>620-4995-08-23</t>
  </si>
  <si>
    <t>331-J03-019-088</t>
  </si>
  <si>
    <t>D532/D578a</t>
  </si>
  <si>
    <t>004°32'09.2"E</t>
  </si>
  <si>
    <t>45°07'08.7"N</t>
  </si>
  <si>
    <t>FR-07-1081</t>
  </si>
  <si>
    <t>Notre Dame des Neiges</t>
  </si>
  <si>
    <t>2738E</t>
  </si>
  <si>
    <t>Lieu-dit nommé "col" sur les parcours de l'Ardéchoise. Aucune référence sur carte ou cadastre. Non nommé "col" localement. Contredit l'art. 4 de la règle du jeu. Fond de vallée et donc topographie inadaptée.</t>
  </si>
  <si>
    <t>FR-07-1088</t>
  </si>
  <si>
    <t>Clavière</t>
  </si>
  <si>
    <t>Col de Clavière</t>
  </si>
  <si>
    <t>(212)-021</t>
  </si>
  <si>
    <t>610-4985-08-10</t>
  </si>
  <si>
    <t>331-I03-039-014</t>
  </si>
  <si>
    <t>D276/D9</t>
  </si>
  <si>
    <t>004°24'24.8"E</t>
  </si>
  <si>
    <t>45°01'06.8"N</t>
  </si>
  <si>
    <t>FR-07-1115</t>
  </si>
  <si>
    <t>Freydaparet</t>
  </si>
  <si>
    <t>Col de Freydaparet</t>
  </si>
  <si>
    <t>(204)-046</t>
  </si>
  <si>
    <t>610-4985-16-35</t>
  </si>
  <si>
    <t>331-I03-044-030</t>
  </si>
  <si>
    <t>004°24'59.9"E</t>
  </si>
  <si>
    <t>45°02'27.7"N</t>
  </si>
  <si>
    <t>FR-07-1175</t>
  </si>
  <si>
    <t>Croix de la Femme-Morte</t>
  </si>
  <si>
    <t>060-123</t>
  </si>
  <si>
    <t>580-4935-20-07</t>
  </si>
  <si>
    <t>331-G06-017-052</t>
  </si>
  <si>
    <t>D403</t>
  </si>
  <si>
    <t>004°01'55.7"E</t>
  </si>
  <si>
    <t>44°34'13.5"N</t>
  </si>
  <si>
    <t>FR-07-1255</t>
  </si>
  <si>
    <t>Baricaude</t>
  </si>
  <si>
    <t>Col de la Baricaude</t>
  </si>
  <si>
    <t>2837E</t>
  </si>
  <si>
    <t>(079)-(053)</t>
  </si>
  <si>
    <t>595-4955-12-33</t>
  </si>
  <si>
    <t>331-H05-026-078</t>
  </si>
  <si>
    <t>D289</t>
  </si>
  <si>
    <t>004°12'57.6"E</t>
  </si>
  <si>
    <t>44°46'18.9"N</t>
  </si>
  <si>
    <t>FR-07-1260</t>
  </si>
  <si>
    <t>Quatre Chemins</t>
  </si>
  <si>
    <t>Col des Quatre Chemins</t>
  </si>
  <si>
    <t>2836O</t>
  </si>
  <si>
    <t>137-026</t>
  </si>
  <si>
    <t>585-4965-43-12</t>
  </si>
  <si>
    <t>331-G04-068-008</t>
  </si>
  <si>
    <t>D377/D302/D122</t>
  </si>
  <si>
    <t>004°07'47.7"E</t>
  </si>
  <si>
    <t>44°50'37.8"N</t>
  </si>
  <si>
    <t>FR-07-1262</t>
  </si>
  <si>
    <t>La Plaine de Bauzon</t>
  </si>
  <si>
    <t>151-108</t>
  </si>
  <si>
    <t>590-4950-10-44</t>
  </si>
  <si>
    <t>331-G05-079-053</t>
  </si>
  <si>
    <t>D536/CV</t>
  </si>
  <si>
    <t>004°08'56.1"E</t>
  </si>
  <si>
    <t>44°44'15.5"N</t>
  </si>
  <si>
    <t>Topographie insuffisante. Intitulé inadapté</t>
  </si>
  <si>
    <t>FR-07-1320</t>
  </si>
  <si>
    <t>Montivernoux</t>
  </si>
  <si>
    <t>Col du Montivernoux</t>
  </si>
  <si>
    <t>270-(013)</t>
  </si>
  <si>
    <t>600-4960-28-25</t>
  </si>
  <si>
    <t>331-H05-070-105</t>
  </si>
  <si>
    <t>D122</t>
  </si>
  <si>
    <t>004°17'57.7"E</t>
  </si>
  <si>
    <t>44°48'30.1"N</t>
  </si>
  <si>
    <t>FR-07-1332</t>
  </si>
  <si>
    <t>~
Col de ~</t>
  </si>
  <si>
    <t>La Toureyre
Médille</t>
  </si>
  <si>
    <t>La Toureyre
Col de Médille</t>
  </si>
  <si>
    <t>198-109</t>
  </si>
  <si>
    <t>595-4970-03-46</t>
  </si>
  <si>
    <t>331-H04-022-063</t>
  </si>
  <si>
    <t>D410</t>
  </si>
  <si>
    <t>004°12'28.7"E</t>
  </si>
  <si>
    <t>44°55'05.6"N</t>
  </si>
  <si>
    <t>FR-07-1378</t>
  </si>
  <si>
    <t>Cros de Boutazon</t>
  </si>
  <si>
    <t>Col du Cros de Boutazon</t>
  </si>
  <si>
    <t>2837O</t>
  </si>
  <si>
    <t>076-066</t>
  </si>
  <si>
    <t>580-4950-34-01</t>
  </si>
  <si>
    <t>331-G05-028-024</t>
  </si>
  <si>
    <t>D239/GR7</t>
  </si>
  <si>
    <t>004°03'08.7"E</t>
  </si>
  <si>
    <t>44°41'56.4"N</t>
  </si>
  <si>
    <t>FR-07-1411</t>
  </si>
  <si>
    <t>Bourlatier</t>
  </si>
  <si>
    <t>Col de Bourlatier</t>
  </si>
  <si>
    <t>229-(006)</t>
  </si>
  <si>
    <t>595-4960-35-32</t>
  </si>
  <si>
    <t>331-H05-042-110</t>
  </si>
  <si>
    <t>004°14'46.9"E</t>
  </si>
  <si>
    <t>44°48'53.9"N</t>
  </si>
  <si>
    <t>FR-07-1416</t>
  </si>
  <si>
    <t>Gerbier de Jonc</t>
  </si>
  <si>
    <t>Col du Gerbier de Jonc</t>
  </si>
  <si>
    <t>210-023</t>
  </si>
  <si>
    <t>595-4965-18-10</t>
  </si>
  <si>
    <t>331-H04-030-006</t>
  </si>
  <si>
    <t>D378-D237</t>
  </si>
  <si>
    <t>004°13'27.1"E</t>
  </si>
  <si>
    <t>44°50'27.3"N</t>
  </si>
  <si>
    <t>FR-08-0253</t>
  </si>
  <si>
    <t>198-065</t>
  </si>
  <si>
    <t>585-5530-35-03</t>
  </si>
  <si>
    <t>004°13'56.9"E</t>
  </si>
  <si>
    <t>Ce Pas est situé sur un Thalweg et n'a oas la topographie d'un col</t>
  </si>
  <si>
    <t>Bien que nommé sur la carte IGN ce point n'a pas les caractéistiques topographiques d'un col</t>
  </si>
  <si>
    <t>L'intitulé Aire n'est pas pris en compte par le club</t>
  </si>
  <si>
    <t>Nomination indirecte non retenue par le club</t>
  </si>
  <si>
    <t>Nomination indirecte non retenue par le club. Ici l'appelation Golet doit se rappoter au Lac Bleu</t>
  </si>
  <si>
    <t>Col créé de toute pièce. dans un but promotionnel. Contredit l'art. 4 de la règle du jeu. La Confrérie est bien le nom de la parcelle cadastrale.</t>
  </si>
  <si>
    <t>Col topographique, non nommé sur IGN ou sur un panneau</t>
  </si>
  <si>
    <t>Panneau douteux positionné smble-t-il sur un sommet.</t>
  </si>
  <si>
    <t>Désigne un lieu-dit ou un sommet</t>
  </si>
  <si>
    <t>L'intitulé Coulet est suspect, la BD de l'IGN désigne un sommet</t>
  </si>
  <si>
    <t>Pas d'intitulé reconnu par la règle du Jeu</t>
  </si>
  <si>
    <t>L'intitulé se réfère ici à un "trou "</t>
  </si>
  <si>
    <t>Ne désigne pas le col topographique qui est situé en dehors de la feuille cadastrale portant le nom de Cot de la Liou. Renseignement recueilli sur place: les habitants ne nomment pas le col.</t>
  </si>
  <si>
    <t>FR-09-0895c</t>
  </si>
  <si>
    <t>Crabiers</t>
  </si>
  <si>
    <t>Pas des Crabiers</t>
  </si>
  <si>
    <t>2247O</t>
  </si>
  <si>
    <t>146-069</t>
  </si>
  <si>
    <t>415-4750-14-05</t>
  </si>
  <si>
    <t>S2-3</t>
  </si>
  <si>
    <t>001°58'32.3"E</t>
  </si>
  <si>
    <t>42°54'07.5"N</t>
  </si>
  <si>
    <t>Ce Pas n'a pas les caractéristiques topographiques d'un col</t>
  </si>
  <si>
    <t>FR-09-1065</t>
  </si>
  <si>
    <t>2248O</t>
  </si>
  <si>
    <t>020-089</t>
  </si>
  <si>
    <t>400-4730-35-26</t>
  </si>
  <si>
    <t>343-I08-084-055</t>
  </si>
  <si>
    <t>001°49'15.8"E</t>
  </si>
  <si>
    <t>42°44'25.0"N</t>
  </si>
  <si>
    <t>Le caractère topographique a été jugé insuffisant</t>
  </si>
  <si>
    <t>FR-09-1280</t>
  </si>
  <si>
    <t>Artigue</t>
  </si>
  <si>
    <t>Pas de l'Artigue</t>
  </si>
  <si>
    <t>1947E</t>
  </si>
  <si>
    <t>(004)-076</t>
  </si>
  <si>
    <t>340-4750-26-24</t>
  </si>
  <si>
    <t>001°04'19.6"E</t>
  </si>
  <si>
    <t>42°54'29.6"N</t>
  </si>
  <si>
    <t>2004 - N°32</t>
  </si>
  <si>
    <t>Le réticule bleu correspond à la localisation du Pas de l'Artigue dans la Bdnyme de l'IGN. La carte indique ce toponyme plus au sud. Il ne s'agit pas d'un col mais d'une combe.</t>
  </si>
  <si>
    <t>FR-09-1397</t>
  </si>
  <si>
    <t>Taboulé</t>
  </si>
  <si>
    <t>Col du Taboulé</t>
  </si>
  <si>
    <t>(126)-061</t>
  </si>
  <si>
    <t>330-4750-04-13</t>
  </si>
  <si>
    <t>000°55'21.4"E</t>
  </si>
  <si>
    <t>42°53'43.1"N</t>
  </si>
  <si>
    <t>Une inscription peu lisible sur un arbre comme seule source. elle a été jugée insuffisante.</t>
  </si>
  <si>
    <t>FR-09-1568</t>
  </si>
  <si>
    <t>Lesse de Bialac</t>
  </si>
  <si>
    <t>Col de la Lesse de Bialac</t>
  </si>
  <si>
    <t>2148E</t>
  </si>
  <si>
    <t>159-126</t>
  </si>
  <si>
    <t>385-4735-30-15</t>
  </si>
  <si>
    <t>001°37'53.3"E</t>
  </si>
  <si>
    <t>42°46'23.1"N</t>
  </si>
  <si>
    <t>1989 - N°17</t>
  </si>
  <si>
    <t>Confusion entre col et cap. Il s'agit du Cap de la Lesse de Bialac. Cap (tête) signifie sommet.</t>
  </si>
  <si>
    <t>FR-09-2001a</t>
  </si>
  <si>
    <t>Couret de l'~</t>
  </si>
  <si>
    <t>Etang</t>
  </si>
  <si>
    <t>Couret de l'Etang</t>
  </si>
  <si>
    <t>1947O</t>
  </si>
  <si>
    <t>(184)-014</t>
  </si>
  <si>
    <t>320-4745-45-17</t>
  </si>
  <si>
    <t>FR-31</t>
  </si>
  <si>
    <t>000°51'05.7"E</t>
  </si>
  <si>
    <t>42°51'10.4"N</t>
  </si>
  <si>
    <t>2008 - N°36</t>
  </si>
  <si>
    <t>Correspond à un sommet</t>
  </si>
  <si>
    <t>FR-09-2085</t>
  </si>
  <si>
    <t>Case</t>
  </si>
  <si>
    <t>Pas de la Case</t>
  </si>
  <si>
    <t>2149E</t>
  </si>
  <si>
    <t>246-070</t>
  </si>
  <si>
    <t>395-4710-12-08</t>
  </si>
  <si>
    <t>343-I09-038-032</t>
  </si>
  <si>
    <t>N22</t>
  </si>
  <si>
    <t>AND</t>
  </si>
  <si>
    <t>001°44'08.9"E</t>
  </si>
  <si>
    <t>42°32'34.9"N</t>
  </si>
  <si>
    <t>Le Pas de la Case est situé dans la vallée de l'Ariège. donc absence de col topographique. "Pas" correspond sans doute à un gué.</t>
  </si>
  <si>
    <t>FR-09-2252a</t>
  </si>
  <si>
    <t>Couillade des ~</t>
  </si>
  <si>
    <t>Bourriques</t>
  </si>
  <si>
    <t>Couillade des Bourriques</t>
  </si>
  <si>
    <t>2248E</t>
  </si>
  <si>
    <t>154-013</t>
  </si>
  <si>
    <t>415-4720-18-48</t>
  </si>
  <si>
    <t>001°59'05.4"E</t>
  </si>
  <si>
    <t>42°40'16.7"N</t>
  </si>
  <si>
    <t>Il s'agit d'un sommet et non d'un col</t>
  </si>
  <si>
    <t>FR-09-2442a</t>
  </si>
  <si>
    <t>Port de la ~</t>
  </si>
  <si>
    <t>Girette</t>
  </si>
  <si>
    <t>Port de la Girette</t>
  </si>
  <si>
    <t>1948E</t>
  </si>
  <si>
    <t>(033)-(066)</t>
  </si>
  <si>
    <t>335-4735-43-33</t>
  </si>
  <si>
    <t>001°02'09.4"E</t>
  </si>
  <si>
    <t>42°46'49.1"N</t>
  </si>
  <si>
    <t>Le col reconnu par le Club mais il est situé en Espagne</t>
  </si>
  <si>
    <t>FR-09-2588</t>
  </si>
  <si>
    <t>La Grande Porteille</t>
  </si>
  <si>
    <t>2249O</t>
  </si>
  <si>
    <t>145-153</t>
  </si>
  <si>
    <t>415-4715-08-39</t>
  </si>
  <si>
    <t>GR7</t>
  </si>
  <si>
    <t>FR-66</t>
  </si>
  <si>
    <t>001°58'24.3"E</t>
  </si>
  <si>
    <t>42°37'04.9"N</t>
  </si>
  <si>
    <t>Doublon avec le FR-09-2603.</t>
  </si>
  <si>
    <t>FR-09-2650</t>
  </si>
  <si>
    <t>Balme</t>
  </si>
  <si>
    <t>Passage de la Balme</t>
  </si>
  <si>
    <t>2048O</t>
  </si>
  <si>
    <t>005-(052)</t>
  </si>
  <si>
    <t>340-4735-32-46</t>
  </si>
  <si>
    <t>001°04'57.6"E</t>
  </si>
  <si>
    <t>42°47'35.6"N</t>
  </si>
  <si>
    <t>Selon la Bdnyme de l'IGN. passage de la Balme désigne tout un secteur et non un col précis.</t>
  </si>
  <si>
    <t>FR-09-2675</t>
  </si>
  <si>
    <t>La Portella del ~</t>
  </si>
  <si>
    <t>Forn</t>
  </si>
  <si>
    <t>La Portella del Forn</t>
  </si>
  <si>
    <t>2149O</t>
  </si>
  <si>
    <t>124-171</t>
  </si>
  <si>
    <t>380-4720-42-11</t>
  </si>
  <si>
    <t>001°35'16.3"E</t>
  </si>
  <si>
    <t>42°38'00.9"N</t>
  </si>
  <si>
    <t>??/??/2013</t>
  </si>
  <si>
    <t>Le col se trouve en Andorre.</t>
  </si>
  <si>
    <t>FR-11-0050a</t>
  </si>
  <si>
    <t>Piale</t>
  </si>
  <si>
    <t>Pas de la Piale</t>
  </si>
  <si>
    <t>2547O</t>
  </si>
  <si>
    <t>055-175</t>
  </si>
  <si>
    <t>495-4760-05-05</t>
  </si>
  <si>
    <t>344-I05-061-122</t>
  </si>
  <si>
    <t>002°56'41.4"E</t>
  </si>
  <si>
    <t>42°59'51.0"N</t>
  </si>
  <si>
    <t>Pas de caractères topographiques d'un col. Il s'agit d'un gué permettant le franchissement d'un ruisseau</t>
  </si>
  <si>
    <t>FR-11-0056</t>
  </si>
  <si>
    <t>Maçon</t>
  </si>
  <si>
    <t>Le col du Maçon</t>
  </si>
  <si>
    <t>2546O</t>
  </si>
  <si>
    <t>120-006</t>
  </si>
  <si>
    <t>500-4760-19-37</t>
  </si>
  <si>
    <t>N139</t>
  </si>
  <si>
    <t>003°01'25.5"E</t>
  </si>
  <si>
    <t>43°01'32.1"N</t>
  </si>
  <si>
    <t>FR-11-0070</t>
  </si>
  <si>
    <t>FR-13-0500b</t>
  </si>
  <si>
    <t>Figuier</t>
  </si>
  <si>
    <t>Pas du Figuier</t>
  </si>
  <si>
    <t>101-168</t>
  </si>
  <si>
    <t>700-4800-44-29</t>
  </si>
  <si>
    <t>005°31'19.4"E</t>
  </si>
  <si>
    <t>43°21'03.0"N</t>
  </si>
  <si>
    <t>La topographie n'est pas correcte. Passage dans une falaise qui n'est pas sur une ligne de crète.</t>
  </si>
  <si>
    <t>FR-26-0576a</t>
  </si>
  <si>
    <t>Peyronière</t>
  </si>
  <si>
    <t>Col de la Peyronière</t>
  </si>
  <si>
    <t>153-132</t>
  </si>
  <si>
    <t>675-4895-30-36</t>
  </si>
  <si>
    <t>332-E08-033-039</t>
  </si>
  <si>
    <t>005°13'42.3"E</t>
  </si>
  <si>
    <t>La topographie n'est pas correcte. Col créé pour les besoin d'une épreuve cyclosportive contredit l'Art. 4 de la règle du jeu</t>
  </si>
  <si>
    <t>D40</t>
  </si>
  <si>
    <t>FR-01-1096a</t>
  </si>
  <si>
    <t>Grand-Voie</t>
  </si>
  <si>
    <t>Golet Grand-Voie</t>
  </si>
  <si>
    <t>264-138</t>
  </si>
  <si>
    <t>710-5100-20-04</t>
  </si>
  <si>
    <t>005°44'20.9"E</t>
  </si>
  <si>
    <t>Passage dans le Ruisseau Vézérence</t>
  </si>
  <si>
    <t>FR-01-1125</t>
  </si>
  <si>
    <t>Danoi</t>
  </si>
  <si>
    <t>Golet Danoi</t>
  </si>
  <si>
    <t>262-135</t>
  </si>
  <si>
    <t>710-5100-18-01</t>
  </si>
  <si>
    <t>005°44'09.9"E</t>
  </si>
  <si>
    <t>Large étendue ne comportant pas de col topogarphique</t>
  </si>
  <si>
    <t>(159)-057</t>
  </si>
  <si>
    <t>440-4765-47-39</t>
  </si>
  <si>
    <t>002°19'15.8"E</t>
  </si>
  <si>
    <t>Pas la topographie d'un col.Il y a bien un col topo sur la D151 au sud mais il n'est pas sur l'emprise de la parcelle cadastrale nommée col del Prat</t>
  </si>
  <si>
    <t>FR-11-0264</t>
  </si>
  <si>
    <t>Las Couillados</t>
  </si>
  <si>
    <t>048-065</t>
  </si>
  <si>
    <t>465-4765-05-46</t>
  </si>
  <si>
    <t>002°34'32.9"E</t>
  </si>
  <si>
    <t>43°04'42.5"N</t>
  </si>
  <si>
    <t>Le toponyme correspond à une feuille cadastrale. Aucun col topo ne s'impose à l'intérieur de cette feuille. Los Couillados peut désigner toute la crête.</t>
  </si>
  <si>
    <t>FR-11-0276</t>
  </si>
  <si>
    <t>Endiale</t>
  </si>
  <si>
    <t>Pas d'Endiale</t>
  </si>
  <si>
    <t>199-189</t>
  </si>
  <si>
    <t>480-4760-05-19</t>
  </si>
  <si>
    <t>002°45'40.1"E</t>
  </si>
  <si>
    <t>43°00'35.3"N</t>
  </si>
  <si>
    <t>Pas de caractères topographiques d'un col. Il s'agit d'un fond de vallon</t>
  </si>
  <si>
    <t>FR-11-0315b</t>
  </si>
  <si>
    <t>Pas d' ~</t>
  </si>
  <si>
    <t>Rousi</t>
  </si>
  <si>
    <t>Pas d' Rousi</t>
  </si>
  <si>
    <t>2447O</t>
  </si>
  <si>
    <t>(293)-191</t>
  </si>
  <si>
    <t>460-4760-06-23</t>
  </si>
  <si>
    <t>002°31'00.9"E</t>
  </si>
  <si>
    <t>43°00'43.2"N</t>
  </si>
  <si>
    <t>L'intitulé "Pas" ne désigne pas toujours un col. A cet endroit nous avons déjà un col reconnu "Les Cols"</t>
  </si>
  <si>
    <t>FR-11-0315c</t>
  </si>
  <si>
    <t>Bary</t>
  </si>
  <si>
    <t>Col de la Bary</t>
  </si>
  <si>
    <t>2347O</t>
  </si>
  <si>
    <t>134-123</t>
  </si>
  <si>
    <t>440-4755-46-06</t>
  </si>
  <si>
    <t>002°19'15.3"E</t>
  </si>
  <si>
    <t>Dans ce département "col" peut désigner une colline, cela semble le cas ici</t>
  </si>
  <si>
    <t>FR-11-0318</t>
  </si>
  <si>
    <t>Prax</t>
  </si>
  <si>
    <t>Col de Prax</t>
  </si>
  <si>
    <t>128-117</t>
  </si>
  <si>
    <t>440-4750-40-50</t>
  </si>
  <si>
    <t>Col Notre Dame des Neiges</t>
  </si>
  <si>
    <t>276-148</t>
  </si>
  <si>
    <t>575-4935-00-32</t>
  </si>
  <si>
    <t>331-F06-059-069</t>
  </si>
  <si>
    <t>D4</t>
  </si>
  <si>
    <t>003°56'44.0"E</t>
  </si>
  <si>
    <t>3.94557</t>
  </si>
  <si>
    <t>44.59353</t>
  </si>
  <si>
    <t>1.78772</t>
  </si>
  <si>
    <t>49.54839</t>
  </si>
  <si>
    <t>175-173</t>
  </si>
  <si>
    <t>320-5080-18-28</t>
  </si>
  <si>
    <t>328-N05-019-031</t>
  </si>
  <si>
    <t>006°42'11,3"E</t>
  </si>
  <si>
    <t>235-117</t>
  </si>
  <si>
    <t>310-4915-30-24</t>
  </si>
  <si>
    <t>000°39'09,7"E</t>
  </si>
  <si>
    <t>44°48'17.8"N</t>
  </si>
  <si>
    <t>S1-2(S), R1(N)</t>
  </si>
  <si>
    <t>RF(N), R1(S)</t>
  </si>
  <si>
    <t>FR-42-1390</t>
  </si>
  <si>
    <r>
      <t xml:space="preserve">Col du ~
</t>
    </r>
    <r>
      <rPr>
        <sz val="8"/>
        <rFont val="Arial"/>
        <family val="2"/>
      </rPr>
      <t>Col de la ~</t>
    </r>
  </si>
  <si>
    <r>
      <t xml:space="preserve">Béal
</t>
    </r>
    <r>
      <rPr>
        <sz val="8"/>
        <rFont val="Arial"/>
        <family val="2"/>
      </rPr>
      <t>Croix du Béal</t>
    </r>
  </si>
  <si>
    <r>
      <t xml:space="preserve">Col du Béal
</t>
    </r>
    <r>
      <rPr>
        <sz val="8"/>
        <rFont val="Arial"/>
        <family val="2"/>
      </rPr>
      <t>Col de la Croix du Béal</t>
    </r>
  </si>
  <si>
    <t>145-162</t>
  </si>
  <si>
    <t>560-5055-10-44</t>
  </si>
  <si>
    <t>327-B05-060-014</t>
  </si>
  <si>
    <t>D40, GR3</t>
  </si>
  <si>
    <t>003°46'58.6"E</t>
  </si>
  <si>
    <t>Remplacé par le FR-63-1390</t>
  </si>
  <si>
    <t>FR-66-1901</t>
  </si>
  <si>
    <t>291-110</t>
  </si>
  <si>
    <t>430-4710-03-44</t>
  </si>
  <si>
    <t>002°09'03.4"E</t>
  </si>
  <si>
    <t>Doublon avec le FR-66-1844</t>
  </si>
  <si>
    <t>48°06'12.9"N</t>
  </si>
  <si>
    <t>43°58'12.9"N</t>
  </si>
  <si>
    <t>45°56'30.3"N</t>
  </si>
  <si>
    <t>46°02'46.2"N</t>
  </si>
  <si>
    <t>46°01'26.7"N</t>
  </si>
  <si>
    <t>46°01'16.8"N</t>
  </si>
  <si>
    <t>44°07'02.9"N</t>
  </si>
  <si>
    <t>44°15'22.4"N</t>
  </si>
  <si>
    <t>44°08'05.4"N</t>
  </si>
  <si>
    <t>44°16'34.6"N</t>
  </si>
  <si>
    <t>44°10'23.5"N</t>
  </si>
  <si>
    <t>44°23'53.8"N</t>
  </si>
  <si>
    <t>44°28'56.9"N</t>
  </si>
  <si>
    <t>44°16'50.5"N</t>
  </si>
  <si>
    <t>44°29'16.7"N</t>
  </si>
  <si>
    <t>44°58'13.9"N</t>
  </si>
  <si>
    <t>43°51'02.2"N</t>
  </si>
  <si>
    <t>44°13'46.9"N</t>
  </si>
  <si>
    <t>42°54'30.5"N</t>
  </si>
  <si>
    <t>42°57'04.0"N</t>
  </si>
  <si>
    <t>42°56'43.0"N</t>
  </si>
  <si>
    <t>42°56'56.2"N</t>
  </si>
  <si>
    <t>42°12'30.0"N</t>
  </si>
  <si>
    <t>42°46'35.9"N</t>
  </si>
  <si>
    <t>42°44'00.0"N</t>
  </si>
  <si>
    <t>42°42'57.4"N</t>
  </si>
  <si>
    <t>42°42'51.6"N</t>
  </si>
  <si>
    <t>42°50'43.6"N</t>
  </si>
  <si>
    <t>42°24'33.4"N</t>
  </si>
  <si>
    <t>42°25'30.7"N</t>
  </si>
  <si>
    <t>42°27'00.0"N</t>
  </si>
  <si>
    <t>42°20'14.0"N</t>
  </si>
  <si>
    <t>42°24'47.7"N</t>
  </si>
  <si>
    <t>42°21'23.9"N</t>
  </si>
  <si>
    <t>42°21'38.6"N</t>
  </si>
  <si>
    <t>42°34'44.8"N</t>
  </si>
  <si>
    <t>42°25'36.5"N</t>
  </si>
  <si>
    <t>43°04'15.6"N</t>
  </si>
  <si>
    <t>43°13'03.4"N</t>
  </si>
  <si>
    <t>43°13'16.6"N</t>
  </si>
  <si>
    <t>43°13'23.4"N</t>
  </si>
  <si>
    <t>43°13'12.0"N</t>
  </si>
  <si>
    <t>43°13'03.3"N</t>
  </si>
  <si>
    <t>43°14'21.5"N</t>
  </si>
  <si>
    <t>43°15'12.9"N</t>
  </si>
  <si>
    <t>43°14'52.5"N</t>
  </si>
  <si>
    <t>43°01'12.7"N</t>
  </si>
  <si>
    <t>43°18'31.0"N</t>
  </si>
  <si>
    <t>44°35'36.7"N</t>
  </si>
  <si>
    <t>44°29'09.3"N</t>
  </si>
  <si>
    <t>44°13'07.8"N</t>
  </si>
  <si>
    <t>44°50'34.7"N</t>
  </si>
  <si>
    <t>44°23'08,2"N</t>
  </si>
  <si>
    <t>45°04'34.1"N</t>
  </si>
  <si>
    <t>45°22'58.0"N</t>
  </si>
  <si>
    <t>45°41'07.3"N</t>
  </si>
  <si>
    <t>45°14'44.6"N</t>
  </si>
  <si>
    <t>45°24'21.7"N</t>
  </si>
  <si>
    <t>45°28'22.4"N</t>
  </si>
  <si>
    <t>45°38'26.7"N</t>
  </si>
  <si>
    <t>45°52'30,9"N</t>
  </si>
  <si>
    <t>45°55'57.7"N</t>
  </si>
  <si>
    <t>46°52'04.6"N</t>
  </si>
  <si>
    <t>46°57'10.6"N</t>
  </si>
  <si>
    <t>46°55'12.1"N</t>
  </si>
  <si>
    <t>46°59'37.6"N</t>
  </si>
  <si>
    <t>46°59'29.2"N</t>
  </si>
  <si>
    <t>47°06'25.7"N</t>
  </si>
  <si>
    <t>47°07'34.9"N</t>
  </si>
  <si>
    <t>47°41'34.6"N</t>
  </si>
  <si>
    <t>47°41'31.7"N</t>
  </si>
  <si>
    <t>47°41'09.3"N</t>
  </si>
  <si>
    <t>47°12'29.9"N</t>
  </si>
  <si>
    <t>47°21'19.6"N</t>
  </si>
  <si>
    <t>47°07'48.5"N</t>
  </si>
  <si>
    <t>47°18'21.7"N</t>
  </si>
  <si>
    <t>47°11'05.9"N</t>
  </si>
  <si>
    <t>47°18'07.3"N</t>
  </si>
  <si>
    <t>47°17'50.8"N</t>
  </si>
  <si>
    <t>47°15'36.7"N</t>
  </si>
  <si>
    <t>47°58'04.4"N</t>
  </si>
  <si>
    <t>47°29'36.6"N</t>
  </si>
  <si>
    <t>48°14'04.9"N</t>
  </si>
  <si>
    <t>48°06'59.1"N</t>
  </si>
  <si>
    <t>49°23'03.8"N</t>
  </si>
  <si>
    <t>La brèche désigne le canal d'évacuation permettant de réguler l'Etang du Troncas </t>
  </si>
  <si>
    <t>711778</t>
  </si>
  <si>
    <t>5082751</t>
  </si>
  <si>
    <t>353001</t>
  </si>
  <si>
    <t>4752225</t>
  </si>
  <si>
    <t>5100060</t>
  </si>
  <si>
    <t>4851844</t>
  </si>
  <si>
    <t>321751</t>
  </si>
  <si>
    <t>Col des Cyclotouristes</t>
  </si>
  <si>
    <t>50°21'01.4"N</t>
  </si>
  <si>
    <t>44°25'04,2"N</t>
  </si>
  <si>
    <t>Col créé de toute pièce. sans référence locale. Contredit l'art. 4 de la règle du jeu,</t>
  </si>
  <si>
    <t>Col d'En Moulu</t>
  </si>
  <si>
    <t>Bien que nommé sur la carte IGN ce point n'a pas les caractéistiques topographique d'un col, Col créé de toute pièce. sans référence locale. par une association à l'initiative d'un membre de la Confrérie. Contredit l'art. 4 de la règle du jeu.</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</si>
</sst>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0"/>
    <numFmt numFmtId="165" formatCode="0.000"/>
    <numFmt numFmtId="166" formatCode="00"/>
    <numFmt numFmtId="167" formatCode="mm/yyyy"/>
    <numFmt numFmtId="168" formatCode="_(&quot;$&quot;* #,##0_);_(&quot;$&quot;* \(#,##0\);_(&quot;$&quot;* &quot;-&quot;_);_(@_)"/>
    <numFmt numFmtId="169" formatCode="_(&quot;$&quot;* #,##0.00_);_(&quot;$&quot;* \(#,##0.00\);_(&quot;$&quot;* &quot;-&quot;??_);_(@_)"/>
    <numFmt numFmtId="170" formatCode="0000000"/>
    <numFmt numFmtId="171" formatCode="0.00000"/>
  </numFmts>
  <fonts count="51">
    <font>
      <sz val="10"/>
      <name val="Arial"/>
      <family val="0"/>
    </font>
    <font>
      <sz val="11"/>
      <color indexed="8"/>
      <name val="Calibri"/>
      <family val="2"/>
    </font>
    <font>
      <b/>
      <sz val="8"/>
      <name val="Arial"/>
      <family val="2"/>
    </font>
    <font>
      <sz val="8"/>
      <name val="Arial"/>
      <family val="2"/>
    </font>
    <font>
      <sz val="8"/>
      <color indexed="8"/>
      <name val="Arial"/>
      <family val="2"/>
    </font>
    <font>
      <sz val="8"/>
      <color indexed="12"/>
      <name val="Arial"/>
      <family val="2"/>
    </font>
    <font>
      <sz val="8"/>
      <color indexed="63"/>
      <name val="Arial"/>
      <family val="2"/>
    </font>
    <font>
      <sz val="8"/>
      <color indexed="10"/>
      <name val="Arial"/>
      <family val="2"/>
    </font>
    <font>
      <sz val="10"/>
      <color indexed="8"/>
      <name val="Arial"/>
      <family val="2"/>
    </font>
    <font>
      <sz val="9"/>
      <name val="Tahoma"/>
      <family val="2"/>
    </font>
    <font>
      <u val="single"/>
      <sz val="8"/>
      <color indexed="12"/>
      <name val="Arial"/>
      <family val="2"/>
    </font>
    <font>
      <sz val="10"/>
      <color indexed="8"/>
      <name val="MS Sans Serif"/>
      <family val="2"/>
    </font>
    <font>
      <u val="single"/>
      <sz val="10"/>
      <color indexed="12"/>
      <name val="Arial"/>
      <family val="2"/>
    </font>
    <font>
      <sz val="8"/>
      <color indexed="17"/>
      <name val="Arial"/>
      <family val="2"/>
    </font>
    <font>
      <sz val="8"/>
      <color indexed="3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0"/>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5" fillId="0" borderId="0" applyNumberFormat="0" applyFill="0" applyBorder="0" applyProtection="0">
      <alignment horizontal="center" vertical="center"/>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32" borderId="5" applyNumberFormat="0" applyProtection="0">
      <alignment horizontal="center" vertical="center" wrapText="1"/>
    </xf>
    <xf numFmtId="0" fontId="2" fillId="33" borderId="5" applyNumberFormat="0" applyProtection="0">
      <alignment horizontal="center" vertical="center" wrapText="1"/>
    </xf>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4" borderId="10" applyNumberFormat="0" applyAlignment="0" applyProtection="0"/>
  </cellStyleXfs>
  <cellXfs count="129">
    <xf numFmtId="0" fontId="0" fillId="0" borderId="0" xfId="0" applyAlignment="1">
      <alignment/>
    </xf>
    <xf numFmtId="49"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49" fontId="4"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16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NumberFormat="1" applyFont="1" applyFill="1" applyBorder="1" applyAlignment="1">
      <alignment vertical="center" wrapText="1"/>
    </xf>
    <xf numFmtId="166" fontId="4"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44" applyFont="1" applyBorder="1" applyAlignment="1" applyProtection="1">
      <alignment horizontal="left" vertical="center"/>
      <protection locked="0"/>
    </xf>
    <xf numFmtId="0" fontId="10" fillId="0" borderId="0" xfId="44"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4" fillId="0" borderId="0" xfId="64" applyNumberFormat="1" applyFont="1" applyFill="1" applyBorder="1" applyAlignment="1">
      <alignment horizontal="left" vertical="center" wrapText="1"/>
      <protection/>
    </xf>
    <xf numFmtId="0" fontId="4" fillId="0" borderId="0" xfId="64" applyNumberFormat="1" applyFont="1" applyFill="1" applyBorder="1" applyAlignment="1">
      <alignment horizontal="center" vertical="center" wrapText="1"/>
      <protection/>
    </xf>
    <xf numFmtId="49" fontId="4" fillId="0" borderId="0" xfId="64" applyNumberFormat="1" applyFont="1" applyFill="1" applyBorder="1" applyAlignment="1">
      <alignment horizontal="center" vertical="center" wrapText="1"/>
      <protection/>
    </xf>
    <xf numFmtId="164" fontId="4" fillId="0" borderId="0" xfId="64" applyNumberFormat="1" applyFont="1" applyFill="1" applyBorder="1" applyAlignment="1">
      <alignment horizontal="center" vertical="center" wrapText="1"/>
      <protection/>
    </xf>
    <xf numFmtId="166" fontId="4" fillId="0" borderId="0" xfId="64" applyNumberFormat="1" applyFont="1" applyFill="1" applyBorder="1" applyAlignment="1">
      <alignment horizontal="center" vertical="center" wrapText="1"/>
      <protection/>
    </xf>
    <xf numFmtId="0" fontId="3" fillId="0" borderId="0" xfId="61" applyFont="1" applyFill="1" applyBorder="1" applyAlignment="1">
      <alignment horizontal="center" vertical="center"/>
      <protection/>
    </xf>
    <xf numFmtId="14" fontId="3" fillId="0" borderId="0" xfId="61" applyNumberFormat="1" applyFont="1" applyFill="1" applyBorder="1" applyAlignment="1">
      <alignment horizontal="center" vertical="center"/>
      <protection/>
    </xf>
    <xf numFmtId="0" fontId="5" fillId="0" borderId="0" xfId="44" applyBorder="1" applyAlignment="1" applyProtection="1">
      <alignment horizontal="center" vertical="center"/>
      <protection/>
    </xf>
    <xf numFmtId="0" fontId="0" fillId="0" borderId="0" xfId="0"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Border="1" applyAlignment="1">
      <alignment vertical="center" wrapText="1"/>
    </xf>
    <xf numFmtId="164" fontId="6" fillId="0" borderId="0" xfId="0" applyNumberFormat="1" applyFont="1" applyFill="1" applyBorder="1" applyAlignment="1">
      <alignment horizontal="center" vertical="center" wrapText="1"/>
    </xf>
    <xf numFmtId="14" fontId="3" fillId="0" borderId="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164" fontId="3" fillId="0" borderId="0" xfId="0"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0" applyFont="1" applyBorder="1" applyAlignment="1">
      <alignment vertical="center"/>
    </xf>
    <xf numFmtId="0" fontId="3" fillId="0" borderId="0" xfId="61" applyFont="1" applyFill="1" applyBorder="1" applyAlignment="1">
      <alignment horizontal="left" vertical="center" wrapText="1"/>
      <protection/>
    </xf>
    <xf numFmtId="0" fontId="3" fillId="0" borderId="0" xfId="61" applyFont="1" applyFill="1" applyBorder="1" applyAlignment="1">
      <alignment horizontal="center" vertical="center" wrapText="1"/>
      <protection/>
    </xf>
    <xf numFmtId="0" fontId="3" fillId="0" borderId="0" xfId="61" applyNumberFormat="1" applyFont="1" applyFill="1" applyBorder="1" applyAlignment="1">
      <alignment horizontal="center" vertical="center" wrapText="1"/>
      <protection/>
    </xf>
    <xf numFmtId="0" fontId="3" fillId="0" borderId="0" xfId="61" applyFont="1" applyFill="1" applyBorder="1" applyAlignment="1">
      <alignment vertical="center" wrapText="1"/>
      <protection/>
    </xf>
    <xf numFmtId="0" fontId="3" fillId="0" borderId="0" xfId="61" applyFont="1" applyFill="1" applyBorder="1" applyAlignment="1" applyProtection="1">
      <alignment horizontal="center" vertical="center"/>
      <protection locked="0"/>
    </xf>
    <xf numFmtId="0" fontId="3" fillId="0" borderId="0" xfId="61" applyFont="1" applyFill="1" applyBorder="1" applyAlignment="1">
      <alignment vertical="center"/>
      <protection/>
    </xf>
    <xf numFmtId="0" fontId="0" fillId="0" borderId="0" xfId="0" applyBorder="1" applyAlignment="1">
      <alignment horizontal="center" vertical="center"/>
    </xf>
    <xf numFmtId="0" fontId="3" fillId="0" borderId="0" xfId="63" applyFont="1" applyFill="1" applyBorder="1" applyAlignment="1">
      <alignment horizontal="center" vertical="center"/>
      <protection/>
    </xf>
    <xf numFmtId="14" fontId="3" fillId="0" borderId="0" xfId="63" applyNumberFormat="1" applyFont="1" applyFill="1" applyBorder="1" applyAlignment="1">
      <alignment horizontal="center" vertical="center"/>
      <protection/>
    </xf>
    <xf numFmtId="0" fontId="3" fillId="0" borderId="0" xfId="63" applyNumberFormat="1" applyFont="1" applyFill="1" applyBorder="1" applyAlignment="1">
      <alignment horizontal="center" vertical="center" wrapText="1"/>
      <protection/>
    </xf>
    <xf numFmtId="0" fontId="3" fillId="0" borderId="0" xfId="63" applyFont="1" applyFill="1" applyBorder="1" applyAlignment="1">
      <alignment vertical="center" wrapText="1"/>
      <protection/>
    </xf>
    <xf numFmtId="0" fontId="3" fillId="0" borderId="0" xfId="63" applyFont="1" applyFill="1" applyBorder="1" applyAlignment="1">
      <alignment horizontal="center" vertical="center" wrapText="1"/>
      <protection/>
    </xf>
    <xf numFmtId="0" fontId="3" fillId="0" borderId="0" xfId="63" applyFont="1" applyFill="1" applyBorder="1" applyAlignment="1">
      <alignment horizontal="left" vertical="center" wrapText="1"/>
      <protection/>
    </xf>
    <xf numFmtId="0" fontId="3" fillId="0" borderId="0" xfId="63" applyFont="1" applyFill="1" applyBorder="1" applyAlignment="1">
      <alignment vertical="center"/>
      <protection/>
    </xf>
    <xf numFmtId="0" fontId="3" fillId="0" borderId="0" xfId="63" applyFont="1" applyFill="1" applyBorder="1" applyAlignment="1" applyProtection="1">
      <alignment horizontal="center" vertical="center"/>
      <protection locked="0"/>
    </xf>
    <xf numFmtId="0" fontId="5" fillId="0" borderId="0" xfId="44" applyBorder="1" applyProtection="1">
      <alignment horizontal="center" vertical="center"/>
      <protection/>
    </xf>
    <xf numFmtId="0" fontId="5" fillId="0" borderId="0" xfId="44" applyFill="1" applyBorder="1" applyAlignment="1" applyProtection="1">
      <alignment horizontal="center" vertical="center"/>
      <protection/>
    </xf>
    <xf numFmtId="0" fontId="0" fillId="0" borderId="0" xfId="0" applyBorder="1" applyAlignment="1" applyProtection="1">
      <alignment vertical="center"/>
      <protection/>
    </xf>
    <xf numFmtId="49" fontId="3" fillId="0" borderId="0" xfId="64" applyNumberFormat="1" applyFont="1" applyFill="1" applyBorder="1" applyAlignment="1">
      <alignment horizontal="left" vertical="center" wrapText="1"/>
      <protection/>
    </xf>
    <xf numFmtId="0" fontId="10" fillId="0" borderId="0" xfId="45" applyNumberFormat="1" applyFont="1" applyFill="1" applyBorder="1" applyAlignment="1" applyProtection="1">
      <alignment horizontal="center" vertical="center"/>
      <protection/>
    </xf>
    <xf numFmtId="49" fontId="3" fillId="0" borderId="0" xfId="64" applyNumberFormat="1" applyFont="1" applyBorder="1" applyAlignment="1">
      <alignment horizontal="left" vertical="center" wrapText="1"/>
      <protection/>
    </xf>
    <xf numFmtId="49" fontId="4" fillId="0" borderId="0" xfId="64" applyNumberFormat="1" applyFont="1" applyBorder="1" applyAlignment="1">
      <alignment horizontal="left" vertical="center" wrapText="1"/>
      <protection/>
    </xf>
    <xf numFmtId="0" fontId="4" fillId="0" borderId="0" xfId="64" applyFont="1" applyBorder="1" applyAlignment="1">
      <alignment horizontal="center" vertical="center" wrapText="1"/>
      <protection/>
    </xf>
    <xf numFmtId="49" fontId="4" fillId="0" borderId="0" xfId="64" applyNumberFormat="1" applyFont="1" applyBorder="1" applyAlignment="1">
      <alignment horizontal="center" vertical="center" wrapText="1"/>
      <protection/>
    </xf>
    <xf numFmtId="164" fontId="4" fillId="0" borderId="0" xfId="64" applyNumberFormat="1" applyFont="1" applyBorder="1" applyAlignment="1">
      <alignment horizontal="center" vertical="center" wrapText="1"/>
      <protection/>
    </xf>
    <xf numFmtId="166" fontId="4" fillId="0" borderId="0" xfId="64" applyNumberFormat="1" applyFont="1" applyBorder="1" applyAlignment="1">
      <alignment horizontal="center" vertical="center" wrapText="1"/>
      <protection/>
    </xf>
    <xf numFmtId="49" fontId="3" fillId="0" borderId="0" xfId="0" applyNumberFormat="1" applyFont="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49" fontId="2" fillId="33" borderId="0" xfId="72" applyNumberFormat="1" applyBorder="1" applyAlignment="1">
      <alignment horizontal="center" vertical="center" wrapText="1"/>
    </xf>
    <xf numFmtId="0" fontId="2" fillId="33" borderId="0" xfId="72" applyNumberFormat="1" applyBorder="1" applyAlignment="1">
      <alignment horizontal="center" vertical="center" wrapText="1"/>
    </xf>
    <xf numFmtId="0" fontId="2" fillId="32" borderId="0" xfId="71" applyNumberFormat="1" applyBorder="1" applyAlignment="1">
      <alignment horizontal="center" vertical="center" wrapText="1"/>
    </xf>
    <xf numFmtId="49" fontId="2" fillId="32" borderId="0" xfId="71" applyNumberFormat="1" applyBorder="1" applyAlignment="1">
      <alignment horizontal="center" vertical="center" wrapText="1"/>
    </xf>
    <xf numFmtId="0" fontId="2" fillId="33" borderId="0" xfId="72" applyNumberFormat="1" applyBorder="1" applyAlignment="1" applyProtection="1">
      <alignment horizontal="center" vertical="center" wrapText="1"/>
      <protection/>
    </xf>
    <xf numFmtId="0" fontId="2" fillId="33" borderId="0" xfId="72" applyNumberFormat="1" applyBorder="1" applyAlignment="1" applyProtection="1">
      <alignment horizontal="center" vertical="center" wrapText="1"/>
      <protection locked="0"/>
    </xf>
    <xf numFmtId="164" fontId="2" fillId="33" borderId="0" xfId="72" applyNumberFormat="1" applyBorder="1" applyAlignment="1" applyProtection="1">
      <alignment horizontal="center" vertical="center" wrapText="1"/>
      <protection locked="0"/>
    </xf>
    <xf numFmtId="0" fontId="2" fillId="32" borderId="0" xfId="71" applyBorder="1" applyAlignment="1" applyProtection="1">
      <alignment horizontal="center" vertical="center" wrapText="1"/>
      <protection locked="0"/>
    </xf>
    <xf numFmtId="0" fontId="2" fillId="32" borderId="0" xfId="71" applyBorder="1" applyAlignment="1" applyProtection="1">
      <alignment horizontal="center" vertical="center"/>
      <protection locked="0"/>
    </xf>
    <xf numFmtId="0" fontId="3"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0" fillId="0" borderId="0" xfId="0" applyBorder="1" applyAlignment="1">
      <alignment vertical="center" wrapText="1"/>
    </xf>
    <xf numFmtId="0" fontId="4" fillId="0" borderId="0" xfId="0" applyFont="1" applyBorder="1" applyAlignment="1">
      <alignment vertical="center"/>
    </xf>
    <xf numFmtId="0" fontId="5" fillId="0" borderId="0" xfId="44" applyNumberFormat="1" applyBorder="1" applyProtection="1">
      <alignment horizontal="center" vertical="center"/>
      <protection/>
    </xf>
    <xf numFmtId="0" fontId="5" fillId="0" borderId="0" xfId="44" applyNumberFormat="1" applyFill="1" applyBorder="1" applyProtection="1">
      <alignment horizontal="center" vertical="center"/>
      <protection/>
    </xf>
    <xf numFmtId="164" fontId="6" fillId="0" borderId="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50" fillId="0" borderId="0" xfId="0" applyNumberFormat="1" applyFont="1" applyBorder="1" applyAlignment="1">
      <alignment horizontal="center" vertical="center" wrapText="1"/>
    </xf>
    <xf numFmtId="164" fontId="3" fillId="0" borderId="0" xfId="63" applyNumberFormat="1" applyFont="1" applyFill="1" applyBorder="1" applyAlignment="1">
      <alignment horizontal="center" vertical="center" wrapText="1"/>
      <protection/>
    </xf>
    <xf numFmtId="164" fontId="3" fillId="0" borderId="0" xfId="0" applyNumberFormat="1" applyFont="1" applyFill="1" applyBorder="1" applyAlignment="1">
      <alignment horizontal="center" vertical="center"/>
    </xf>
    <xf numFmtId="164" fontId="3" fillId="0" borderId="0" xfId="0" applyNumberFormat="1" applyFont="1" applyBorder="1" applyAlignment="1" applyProtection="1">
      <alignment horizontal="center" vertical="center"/>
      <protection locked="0"/>
    </xf>
    <xf numFmtId="164" fontId="0" fillId="0" borderId="0" xfId="0" applyNumberFormat="1" applyBorder="1" applyAlignment="1">
      <alignment horizontal="center" vertical="center"/>
    </xf>
    <xf numFmtId="49" fontId="2" fillId="33" borderId="0" xfId="72" applyNumberFormat="1" applyBorder="1" applyAlignment="1" applyProtection="1">
      <alignment horizontal="center" vertical="center" wrapText="1"/>
      <protection locked="0"/>
    </xf>
    <xf numFmtId="49" fontId="0" fillId="0" borderId="0" xfId="0" applyNumberFormat="1" applyBorder="1" applyAlignment="1">
      <alignment vertical="center"/>
    </xf>
    <xf numFmtId="164" fontId="2" fillId="32" borderId="0" xfId="71" applyNumberFormat="1" applyBorder="1" applyAlignment="1" applyProtection="1">
      <alignment horizontal="center" vertical="center" wrapText="1"/>
      <protection locked="0"/>
    </xf>
    <xf numFmtId="164" fontId="3" fillId="0" borderId="0" xfId="63" applyNumberFormat="1" applyFont="1" applyFill="1" applyBorder="1" applyAlignment="1">
      <alignment horizontal="center" vertical="center"/>
      <protection/>
    </xf>
    <xf numFmtId="0" fontId="5" fillId="0" borderId="0" xfId="44" applyFill="1" applyBorder="1" applyProtection="1">
      <alignment horizontal="center" vertical="center"/>
      <protection/>
    </xf>
    <xf numFmtId="164" fontId="3" fillId="0" borderId="0" xfId="61" applyNumberFormat="1" applyFont="1" applyFill="1" applyBorder="1" applyAlignment="1">
      <alignment horizontal="center" vertical="center" wrapText="1"/>
      <protection/>
    </xf>
    <xf numFmtId="164" fontId="3" fillId="0" borderId="0" xfId="61" applyNumberFormat="1" applyFont="1" applyFill="1" applyBorder="1" applyAlignment="1">
      <alignment horizontal="center" vertical="center"/>
      <protection/>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Lien hypertexte 2 2" xfId="46"/>
    <cellStyle name="Lien hypertexte 3" xfId="47"/>
    <cellStyle name="Lien hypertexte 3 2" xfId="48"/>
    <cellStyle name="Followed Hyperlink" xfId="49"/>
    <cellStyle name="Comma" xfId="50"/>
    <cellStyle name="Comma [0]" xfId="51"/>
    <cellStyle name="Currency" xfId="52"/>
    <cellStyle name="Currency [0]" xfId="53"/>
    <cellStyle name="Neutre" xfId="54"/>
    <cellStyle name="Normal 2" xfId="55"/>
    <cellStyle name="Normal 2 2" xfId="56"/>
    <cellStyle name="Normal 2 3" xfId="57"/>
    <cellStyle name="Normal 2 4" xfId="58"/>
    <cellStyle name="Normal 3" xfId="59"/>
    <cellStyle name="Normal 3 2" xfId="60"/>
    <cellStyle name="Normal 4" xfId="61"/>
    <cellStyle name="Normal 4 2" xfId="62"/>
    <cellStyle name="Normal 5" xfId="63"/>
    <cellStyle name="Normal_Feuil1" xfId="64"/>
    <cellStyle name="Note" xfId="65"/>
    <cellStyle name="Percent" xfId="66"/>
    <cellStyle name="Satisfaisant" xfId="67"/>
    <cellStyle name="Sortie" xfId="68"/>
    <cellStyle name="Texte explicatif" xfId="69"/>
    <cellStyle name="Titre" xfId="70"/>
    <cellStyle name="Titre spécial" xfId="71"/>
    <cellStyle name="Titre standard" xfId="72"/>
    <cellStyle name="Titre 1" xfId="73"/>
    <cellStyle name="Titre 2" xfId="74"/>
    <cellStyle name="Titre 3" xfId="75"/>
    <cellStyle name="Titre 4" xfId="76"/>
    <cellStyle name="Total" xfId="77"/>
    <cellStyle name="Vérificatio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cols.org/util/geo/visuFR.php?code=FR-26-0765a" TargetMode="External" /><Relationship Id="rId2" Type="http://schemas.openxmlformats.org/officeDocument/2006/relationships/hyperlink" Target="http://www.centcols.org/util/geo/visuGen.php?code=FR-06-1109" TargetMode="External" /><Relationship Id="rId3" Type="http://schemas.openxmlformats.org/officeDocument/2006/relationships/hyperlink" Target="http://www.centcols.org/util/geo/visuGen.php?code=FR-11-0315c" TargetMode="External" /><Relationship Id="rId4" Type="http://schemas.openxmlformats.org/officeDocument/2006/relationships/hyperlink" Target="http://www.centcols.org/util/geo/visuFR.php?code=FR-11-0318" TargetMode="External" /><Relationship Id="rId5" Type="http://schemas.openxmlformats.org/officeDocument/2006/relationships/hyperlink" Target="http://www.centcols.org/util/geo/visuGen.php?code=FR-11-0415a" TargetMode="External" /><Relationship Id="rId6" Type="http://schemas.openxmlformats.org/officeDocument/2006/relationships/hyperlink" Target="http://www.centcols.org/util/geo/visuGen.php?code=FR-12-0498" TargetMode="External" /><Relationship Id="rId7" Type="http://schemas.openxmlformats.org/officeDocument/2006/relationships/hyperlink" Target="http://www.centcols.org/util/geo/visuGen.php?code=FR-13-0051" TargetMode="External" /><Relationship Id="rId8" Type="http://schemas.openxmlformats.org/officeDocument/2006/relationships/hyperlink" Target="http://www.centcols.org/util/geo/visuGen.php?code=FR-13-0085" TargetMode="External" /><Relationship Id="rId9" Type="http://schemas.openxmlformats.org/officeDocument/2006/relationships/hyperlink" Target="http://www.centcols.org/util/geo/visuFR.php?code=FR-13-0330b" TargetMode="External" /><Relationship Id="rId10" Type="http://schemas.openxmlformats.org/officeDocument/2006/relationships/hyperlink" Target="http://www.centcols.org/util/geo/visuGen.php?code=FR-13-0340" TargetMode="External" /><Relationship Id="rId11" Type="http://schemas.openxmlformats.org/officeDocument/2006/relationships/hyperlink" Target="http://www.centcols.org/util/geo/visuGen.php?code=FR-13-0350" TargetMode="External" /><Relationship Id="rId12" Type="http://schemas.openxmlformats.org/officeDocument/2006/relationships/hyperlink" Target="http://www.centcols.org/util/geo/visuFR.php?code=FR-15-1480" TargetMode="External" /><Relationship Id="rId13" Type="http://schemas.openxmlformats.org/officeDocument/2006/relationships/hyperlink" Target="http://www.centcols.org/util/geo/visuGen.php?code=FR-21-0518" TargetMode="External" /><Relationship Id="rId14" Type="http://schemas.openxmlformats.org/officeDocument/2006/relationships/hyperlink" Target="http://www.centcols.org/util/geo/visuGen.php?code=FR-26-1060c" TargetMode="External" /><Relationship Id="rId15" Type="http://schemas.openxmlformats.org/officeDocument/2006/relationships/hyperlink" Target="http://www.centcols.org/util/geo/visuGen.php?code=FR-2A-2092" TargetMode="External" /><Relationship Id="rId16" Type="http://schemas.openxmlformats.org/officeDocument/2006/relationships/hyperlink" Target="http://www.centcols.org/util/geo/visuGen.php?code=FR-2B-0100" TargetMode="External" /><Relationship Id="rId17" Type="http://schemas.openxmlformats.org/officeDocument/2006/relationships/hyperlink" Target="http://www.centcols.org/util/geo/visuGen.php?code=FR-35-0112" TargetMode="External" /><Relationship Id="rId18" Type="http://schemas.openxmlformats.org/officeDocument/2006/relationships/hyperlink" Target="http://www.centcols.org/util/geo/visuGen.php?code=FR-37-0087" TargetMode="External" /><Relationship Id="rId19" Type="http://schemas.openxmlformats.org/officeDocument/2006/relationships/hyperlink" Target="http://www.centcols.org/util/geo/visuGen.php?code=FR-38-1563" TargetMode="External" /><Relationship Id="rId20" Type="http://schemas.openxmlformats.org/officeDocument/2006/relationships/hyperlink" Target="http://www.centcols.org/util/geo/visuGen.php?code=FR-56-0057" TargetMode="External" /><Relationship Id="rId21" Type="http://schemas.openxmlformats.org/officeDocument/2006/relationships/hyperlink" Target="http://www.centcols.org/util/geo/visuGen.php?code=FR-56-0058" TargetMode="External" /><Relationship Id="rId22" Type="http://schemas.openxmlformats.org/officeDocument/2006/relationships/hyperlink" Target="http://www.centcols.org/util/geo/visuGen.php?code=FR-56-0085" TargetMode="External" /><Relationship Id="rId23" Type="http://schemas.openxmlformats.org/officeDocument/2006/relationships/hyperlink" Target="http://www.centcols.org/util/geo/visuGen.php?code=FR-56-0130" TargetMode="External" /><Relationship Id="rId24" Type="http://schemas.openxmlformats.org/officeDocument/2006/relationships/hyperlink" Target="http://www.centcols.org/util/geo/visuGen.php?code=FR-57-0237" TargetMode="External" /><Relationship Id="rId25" Type="http://schemas.openxmlformats.org/officeDocument/2006/relationships/hyperlink" Target="http://www.centcols.org/util/geo/visuGen.php?code=FR-58-0382" TargetMode="External" /><Relationship Id="rId26" Type="http://schemas.openxmlformats.org/officeDocument/2006/relationships/hyperlink" Target="http://www.centcols.org/util/geo/visuGen.php?code=FR-58-0406" TargetMode="External" /><Relationship Id="rId27" Type="http://schemas.openxmlformats.org/officeDocument/2006/relationships/hyperlink" Target="http://www.centcols.org/util/geo/visuGen.php?code=FR-58-0440" TargetMode="External" /><Relationship Id="rId28" Type="http://schemas.openxmlformats.org/officeDocument/2006/relationships/hyperlink" Target="http://www.centcols.org/util/geo/visuGen.php?code=FR-58-0530" TargetMode="External" /><Relationship Id="rId29" Type="http://schemas.openxmlformats.org/officeDocument/2006/relationships/hyperlink" Target="http://www.centcols.org/util/geo/visuGen.php?code=FR-58-0539" TargetMode="External" /><Relationship Id="rId30" Type="http://schemas.openxmlformats.org/officeDocument/2006/relationships/hyperlink" Target="http://www.centcols.org/util/geo/visuGen.php?code=FR-58-0564" TargetMode="External" /><Relationship Id="rId31" Type="http://schemas.openxmlformats.org/officeDocument/2006/relationships/hyperlink" Target="http://www.centcols.org/util/geo/visuGen.php?code=FR-58-0578" TargetMode="External" /><Relationship Id="rId32" Type="http://schemas.openxmlformats.org/officeDocument/2006/relationships/hyperlink" Target="http://www.centcols.org/util/geo/visuGen.php?code=FR-58-0584" TargetMode="External" /><Relationship Id="rId33" Type="http://schemas.openxmlformats.org/officeDocument/2006/relationships/hyperlink" Target="http://www.centcols.org/util/geo/visuGen.php?code=FR-58-0643" TargetMode="External" /><Relationship Id="rId34" Type="http://schemas.openxmlformats.org/officeDocument/2006/relationships/hyperlink" Target="http://www.centcols.org/util/geo/visuGen.php?code=FR-58-0714" TargetMode="External" /><Relationship Id="rId35" Type="http://schemas.openxmlformats.org/officeDocument/2006/relationships/hyperlink" Target="http://www.centcols.org/util/geo/visuGen.php?code=FR-64-0370a" TargetMode="External" /><Relationship Id="rId36" Type="http://schemas.openxmlformats.org/officeDocument/2006/relationships/hyperlink" Target="http://www.centcols.org/util/geo/visuGen.php?code=FR-64-0403" TargetMode="External" /><Relationship Id="rId37" Type="http://schemas.openxmlformats.org/officeDocument/2006/relationships/hyperlink" Target="http://www.centcols.org/util/geo/visuGen.php?code=FR-64-0494" TargetMode="External" /><Relationship Id="rId38" Type="http://schemas.openxmlformats.org/officeDocument/2006/relationships/hyperlink" Target="http://www.centcols.org/util/geo/visuGen.php?code=FR-65-0521" TargetMode="External" /><Relationship Id="rId39" Type="http://schemas.openxmlformats.org/officeDocument/2006/relationships/hyperlink" Target="http://www.centcols.org/util/geo/visuGen.php?code=FR-65-2125" TargetMode="External" /><Relationship Id="rId40" Type="http://schemas.openxmlformats.org/officeDocument/2006/relationships/hyperlink" Target="http://www.centcols.org/util/geo/visuGen.php?code=FR-65-2752" TargetMode="External" /><Relationship Id="rId41" Type="http://schemas.openxmlformats.org/officeDocument/2006/relationships/hyperlink" Target="http://www.centcols.org/util/geo/visuGen.php?code=FR-65-2935a" TargetMode="External" /><Relationship Id="rId42" Type="http://schemas.openxmlformats.org/officeDocument/2006/relationships/hyperlink" Target="http://www.centcols.org/util/geo/visuGen.php?code=FR-66-0250b" TargetMode="External" /><Relationship Id="rId43" Type="http://schemas.openxmlformats.org/officeDocument/2006/relationships/hyperlink" Target="http://www.centcols.org/util/geo/visuGen.php?code=FR-66-0696a" TargetMode="External" /><Relationship Id="rId44" Type="http://schemas.openxmlformats.org/officeDocument/2006/relationships/hyperlink" Target="http://www.centcols.org/util/geo/visuGen.php?code=FR-66-1220" TargetMode="External" /><Relationship Id="rId45" Type="http://schemas.openxmlformats.org/officeDocument/2006/relationships/hyperlink" Target="http://www.centcols.org/util/geo/visuGen.php?code=FR-66-1255" TargetMode="External" /><Relationship Id="rId46" Type="http://schemas.openxmlformats.org/officeDocument/2006/relationships/hyperlink" Target="http://www.centcols.org/util/geo/visuGen.php?code=FR-66-1328" TargetMode="External" /><Relationship Id="rId47" Type="http://schemas.openxmlformats.org/officeDocument/2006/relationships/hyperlink" Target="http://www.centcols.org/util/geo/visuGen.php?code=FR-66-1329" TargetMode="External" /><Relationship Id="rId48" Type="http://schemas.openxmlformats.org/officeDocument/2006/relationships/hyperlink" Target="http://www.centcols.org/util/geo/visuGen.php?code=FR-66-1377" TargetMode="External" /><Relationship Id="rId49" Type="http://schemas.openxmlformats.org/officeDocument/2006/relationships/hyperlink" Target="http://www.centcols.org/util/geo/visuGen.php?code=FR-66-1436" TargetMode="External" /><Relationship Id="rId50" Type="http://schemas.openxmlformats.org/officeDocument/2006/relationships/hyperlink" Target="http://www.centcols.org/util/geo/visuGen.php?code=FR-66-2430" TargetMode="External" /><Relationship Id="rId51" Type="http://schemas.openxmlformats.org/officeDocument/2006/relationships/hyperlink" Target="http://www.centcols.org/util/geo/visuGen.php?code=FR-68-0353" TargetMode="External" /><Relationship Id="rId52" Type="http://schemas.openxmlformats.org/officeDocument/2006/relationships/hyperlink" Target="http://www.centcols.org/util/geo/visuGen.php?code=FR-68-0496" TargetMode="External" /><Relationship Id="rId53" Type="http://schemas.openxmlformats.org/officeDocument/2006/relationships/hyperlink" Target="http://www.centcols.org/util/geo/visuGen.php?code=FR-71-0595" TargetMode="External" /><Relationship Id="rId54" Type="http://schemas.openxmlformats.org/officeDocument/2006/relationships/hyperlink" Target="http://www.centcols.org/util/geo/visuGen.php?code=FR-71-0623" TargetMode="External" /><Relationship Id="rId55" Type="http://schemas.openxmlformats.org/officeDocument/2006/relationships/hyperlink" Target="http://www.centcols.org/util/geo/visuGen.php?code=FR-71-0873" TargetMode="External" /><Relationship Id="rId56" Type="http://schemas.openxmlformats.org/officeDocument/2006/relationships/hyperlink" Target="http://www.centcols.org/util/geo/visuGen.php?code=FR-73-2782" TargetMode="External" /><Relationship Id="rId57" Type="http://schemas.openxmlformats.org/officeDocument/2006/relationships/hyperlink" Target="http://www.centcols.org/util/geo/visuGen.php?code=FR-84-0715" TargetMode="External" /><Relationship Id="rId58" Type="http://schemas.openxmlformats.org/officeDocument/2006/relationships/hyperlink" Target="http://www.centcols.org/util/geo/visuGen.php?code=FR-87-0354" TargetMode="External" /><Relationship Id="rId59" Type="http://schemas.openxmlformats.org/officeDocument/2006/relationships/hyperlink" Target="https://www.centcols.org/util/geo/visuGen.php?code=FR-73-1210" TargetMode="External" /><Relationship Id="rId60" Type="http://schemas.openxmlformats.org/officeDocument/2006/relationships/hyperlink" Target="https://www.centcols.org/util/geo/visuGen.php?code=FR-88-0772" TargetMode="External" /><Relationship Id="rId61" Type="http://schemas.openxmlformats.org/officeDocument/2006/relationships/hyperlink" Target="http://www.centcols.org/util/geo/visuGen.php?code=FR-07-1081" TargetMode="External" /><Relationship Id="rId62" Type="http://schemas.openxmlformats.org/officeDocument/2006/relationships/comments" Target="../comments1.xml" /><Relationship Id="rId63" Type="http://schemas.openxmlformats.org/officeDocument/2006/relationships/vmlDrawing" Target="../drawings/vmlDrawing1.vml" /><Relationship Id="rId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64"/>
  <sheetViews>
    <sheetView tabSelected="1" zoomScalePageLayoutView="0" workbookViewId="0" topLeftCell="A1">
      <pane xSplit="1" ySplit="1" topLeftCell="B2" activePane="bottomRight" state="frozen"/>
      <selection pane="topLeft" activeCell="A1" sqref="A1"/>
      <selection pane="topRight" activeCell="I1" sqref="I1"/>
      <selection pane="bottomLeft" activeCell="A17" sqref="A17"/>
      <selection pane="bottomRight" activeCell="A1" sqref="A1"/>
    </sheetView>
  </sheetViews>
  <sheetFormatPr defaultColWidth="11.421875" defaultRowHeight="12.75"/>
  <cols>
    <col min="1" max="1" width="10.28125" style="45" bestFit="1" customWidth="1"/>
    <col min="2" max="2" width="12.28125" style="45" bestFit="1" customWidth="1"/>
    <col min="3" max="3" width="20.57421875" style="45" bestFit="1" customWidth="1"/>
    <col min="4" max="4" width="24.7109375" style="45" bestFit="1" customWidth="1"/>
    <col min="5" max="5" width="4.421875" style="45" bestFit="1" customWidth="1"/>
    <col min="6" max="6" width="3.57421875" style="45" bestFit="1" customWidth="1"/>
    <col min="7" max="7" width="8.00390625" style="45" bestFit="1" customWidth="1"/>
    <col min="8" max="8" width="9.00390625" style="45" bestFit="1" customWidth="1"/>
    <col min="9" max="9" width="12.140625" style="45" bestFit="1" customWidth="1"/>
    <col min="10" max="10" width="11.8515625" style="82" customWidth="1"/>
    <col min="11" max="11" width="14.421875" style="45" bestFit="1" customWidth="1"/>
    <col min="12" max="12" width="24.8515625" style="45" bestFit="1" customWidth="1"/>
    <col min="13" max="13" width="3.57421875" style="71" bestFit="1" customWidth="1"/>
    <col min="14" max="14" width="4.8515625" style="71" bestFit="1" customWidth="1"/>
    <col min="15" max="15" width="9.421875" style="45" bestFit="1" customWidth="1"/>
    <col min="16" max="16" width="9.7109375" style="45" bestFit="1" customWidth="1"/>
    <col min="17" max="17" width="11.140625" style="71" bestFit="1" customWidth="1"/>
    <col min="18" max="18" width="10.7109375" style="71" bestFit="1" customWidth="1"/>
    <col min="19" max="19" width="11.140625" style="121" bestFit="1" customWidth="1"/>
    <col min="20" max="20" width="10.57421875" style="121" bestFit="1" customWidth="1"/>
    <col min="21" max="21" width="5.8515625" style="45" bestFit="1" customWidth="1"/>
    <col min="22" max="22" width="6.57421875" style="123" bestFit="1" customWidth="1"/>
    <col min="23" max="23" width="7.8515625" style="123" bestFit="1" customWidth="1"/>
    <col min="24" max="24" width="10.57421875" style="121" bestFit="1" customWidth="1"/>
    <col min="25" max="25" width="9.140625" style="121" bestFit="1" customWidth="1"/>
    <col min="26" max="26" width="10.140625" style="45" bestFit="1" customWidth="1"/>
    <col min="27" max="27" width="5.57421875" style="45" bestFit="1" customWidth="1"/>
    <col min="28" max="28" width="12.57421875" style="45" bestFit="1" customWidth="1"/>
    <col min="29" max="29" width="8.7109375" style="45" bestFit="1" customWidth="1"/>
    <col min="30" max="30" width="9.7109375" style="45" bestFit="1" customWidth="1"/>
    <col min="31" max="31" width="255.7109375" style="45" bestFit="1" customWidth="1"/>
    <col min="32" max="16384" width="11.421875" style="45" customWidth="1"/>
  </cols>
  <sheetData>
    <row r="1" spans="1:31" ht="22.5">
      <c r="A1" s="94" t="s">
        <v>5096</v>
      </c>
      <c r="B1" s="94" t="s">
        <v>5097</v>
      </c>
      <c r="C1" s="94" t="s">
        <v>5098</v>
      </c>
      <c r="D1" s="94" t="s">
        <v>5099</v>
      </c>
      <c r="E1" s="95" t="s">
        <v>5100</v>
      </c>
      <c r="F1" s="96" t="s">
        <v>5101</v>
      </c>
      <c r="G1" s="97" t="s">
        <v>5102</v>
      </c>
      <c r="H1" s="97" t="s">
        <v>5103</v>
      </c>
      <c r="I1" s="97" t="s">
        <v>5104</v>
      </c>
      <c r="J1" s="98" t="s">
        <v>5105</v>
      </c>
      <c r="K1" s="97" t="s">
        <v>5106</v>
      </c>
      <c r="L1" s="99" t="s">
        <v>5107</v>
      </c>
      <c r="M1" s="99" t="s">
        <v>5108</v>
      </c>
      <c r="N1" s="99" t="s">
        <v>5109</v>
      </c>
      <c r="O1" s="99" t="s">
        <v>5110</v>
      </c>
      <c r="P1" s="99" t="s">
        <v>5111</v>
      </c>
      <c r="Q1" s="99" t="s">
        <v>5112</v>
      </c>
      <c r="R1" s="99" t="s">
        <v>5113</v>
      </c>
      <c r="S1" s="100" t="s">
        <v>5114</v>
      </c>
      <c r="T1" s="100" t="s">
        <v>5115</v>
      </c>
      <c r="U1" s="99" t="s">
        <v>5116</v>
      </c>
      <c r="V1" s="122" t="s">
        <v>5117</v>
      </c>
      <c r="W1" s="122" t="s">
        <v>5118</v>
      </c>
      <c r="X1" s="124" t="s">
        <v>5119</v>
      </c>
      <c r="Y1" s="124" t="s">
        <v>5120</v>
      </c>
      <c r="Z1" s="99" t="s">
        <v>5121</v>
      </c>
      <c r="AA1" s="101" t="s">
        <v>5122</v>
      </c>
      <c r="AB1" s="101" t="s">
        <v>5123</v>
      </c>
      <c r="AC1" s="101" t="s">
        <v>5124</v>
      </c>
      <c r="AD1" s="101" t="s">
        <v>5125</v>
      </c>
      <c r="AE1" s="102" t="s">
        <v>5126</v>
      </c>
    </row>
    <row r="2" spans="1:31" ht="22.5">
      <c r="A2" s="23" t="s">
        <v>5127</v>
      </c>
      <c r="B2" s="1" t="s">
        <v>5128</v>
      </c>
      <c r="C2" s="1" t="s">
        <v>5129</v>
      </c>
      <c r="D2" s="1" t="s">
        <v>5130</v>
      </c>
      <c r="E2" s="2">
        <v>441</v>
      </c>
      <c r="F2" s="2">
        <v>44</v>
      </c>
      <c r="G2" s="3" t="s">
        <v>5131</v>
      </c>
      <c r="H2" s="3" t="s">
        <v>5132</v>
      </c>
      <c r="I2" s="3" t="s">
        <v>5133</v>
      </c>
      <c r="J2" s="44" t="str">
        <f>HYPERLINK("https://www.centcols.org/util/geo/visuGen.php?code=FR-01-0441","FR-01-0441")</f>
        <v>FR-01-0441</v>
      </c>
      <c r="K2" s="3" t="s">
        <v>5134</v>
      </c>
      <c r="L2" s="1" t="s">
        <v>5135</v>
      </c>
      <c r="M2" s="8">
        <v>0</v>
      </c>
      <c r="N2" s="8">
        <v>0</v>
      </c>
      <c r="O2" s="4"/>
      <c r="P2" s="3"/>
      <c r="Q2" s="3" t="s">
        <v>5136</v>
      </c>
      <c r="R2" s="3" t="s">
        <v>5137</v>
      </c>
      <c r="S2" s="25">
        <v>5.388261</v>
      </c>
      <c r="T2" s="25">
        <v>46.341181</v>
      </c>
      <c r="U2" s="2">
        <v>31</v>
      </c>
      <c r="V2" s="3">
        <v>683786</v>
      </c>
      <c r="W2" s="3">
        <v>5134728</v>
      </c>
      <c r="X2" s="25">
        <v>3.39067</v>
      </c>
      <c r="Y2" s="25">
        <v>51.490241</v>
      </c>
      <c r="Z2" s="6"/>
      <c r="AA2" s="7" t="s">
        <v>5138</v>
      </c>
      <c r="AB2" s="8">
        <v>2015</v>
      </c>
      <c r="AC2" s="9">
        <v>42297</v>
      </c>
      <c r="AD2" s="10"/>
      <c r="AE2" s="31" t="s">
        <v>5139</v>
      </c>
    </row>
    <row r="3" spans="1:31" ht="22.5">
      <c r="A3" s="4" t="s">
        <v>5140</v>
      </c>
      <c r="B3" s="1" t="s">
        <v>5141</v>
      </c>
      <c r="C3" s="1" t="s">
        <v>5142</v>
      </c>
      <c r="D3" s="1" t="s">
        <v>5143</v>
      </c>
      <c r="E3" s="2">
        <v>485</v>
      </c>
      <c r="F3" s="2">
        <v>44</v>
      </c>
      <c r="G3" s="3" t="s">
        <v>5144</v>
      </c>
      <c r="H3" s="3" t="s">
        <v>5145</v>
      </c>
      <c r="I3" s="3" t="s">
        <v>5146</v>
      </c>
      <c r="J3" s="44" t="str">
        <f>HYPERLINK("https://www.centcols.org/util/geo/visuGen.php?code=FR-01-0485","FR-01-0485")</f>
        <v>FR-01-0485</v>
      </c>
      <c r="K3" s="3"/>
      <c r="L3" s="1"/>
      <c r="M3" s="8">
        <v>99</v>
      </c>
      <c r="N3" s="8">
        <v>20</v>
      </c>
      <c r="O3" s="4"/>
      <c r="P3" s="3"/>
      <c r="Q3" s="3" t="s">
        <v>5147</v>
      </c>
      <c r="R3" s="3" t="s">
        <v>5148</v>
      </c>
      <c r="S3" s="25">
        <v>5.497916</v>
      </c>
      <c r="T3" s="25">
        <v>45.922571</v>
      </c>
      <c r="U3" s="2">
        <v>31</v>
      </c>
      <c r="V3" s="3">
        <v>693687</v>
      </c>
      <c r="W3" s="3">
        <v>5088479</v>
      </c>
      <c r="X3" s="25">
        <v>3.5124984239067945</v>
      </c>
      <c r="Y3" s="25">
        <v>51.025110109730186</v>
      </c>
      <c r="Z3" s="6"/>
      <c r="AA3" s="7" t="s">
        <v>5138</v>
      </c>
      <c r="AB3" s="8">
        <v>2017</v>
      </c>
      <c r="AC3" s="9"/>
      <c r="AD3" s="10"/>
      <c r="AE3" s="31" t="s">
        <v>5149</v>
      </c>
    </row>
    <row r="4" spans="1:31" ht="22.5">
      <c r="A4" s="4" t="s">
        <v>5150</v>
      </c>
      <c r="B4" s="1" t="s">
        <v>5151</v>
      </c>
      <c r="C4" s="1" t="s">
        <v>5152</v>
      </c>
      <c r="D4" s="1" t="s">
        <v>5153</v>
      </c>
      <c r="E4" s="2">
        <v>538</v>
      </c>
      <c r="F4" s="2">
        <v>44</v>
      </c>
      <c r="G4" s="3" t="s">
        <v>5154</v>
      </c>
      <c r="H4" s="3" t="s">
        <v>5155</v>
      </c>
      <c r="I4" s="3" t="s">
        <v>5156</v>
      </c>
      <c r="J4" s="44" t="str">
        <f>HYPERLINK("https://www.centcols.org/util/geo/visuGen.php?code=FR-01-0538","FR-01-0538")</f>
        <v>FR-01-0538</v>
      </c>
      <c r="K4" s="3"/>
      <c r="L4" s="1" t="s">
        <v>5157</v>
      </c>
      <c r="M4" s="8">
        <v>0</v>
      </c>
      <c r="N4" s="8">
        <v>0</v>
      </c>
      <c r="O4" s="4"/>
      <c r="P4" s="3"/>
      <c r="Q4" s="3" t="s">
        <v>5158</v>
      </c>
      <c r="R4" s="3" t="s">
        <v>5159</v>
      </c>
      <c r="S4" s="25">
        <v>5.657265</v>
      </c>
      <c r="T4" s="25">
        <v>46.289283</v>
      </c>
      <c r="U4" s="2">
        <v>31</v>
      </c>
      <c r="V4" s="3">
        <v>704680</v>
      </c>
      <c r="W4" s="3">
        <v>5129622</v>
      </c>
      <c r="X4" s="25">
        <v>3.6895512795794194</v>
      </c>
      <c r="Y4" s="25">
        <v>51.432575205433565</v>
      </c>
      <c r="Z4" s="6"/>
      <c r="AA4" s="7" t="s">
        <v>5138</v>
      </c>
      <c r="AB4" s="8">
        <v>2017</v>
      </c>
      <c r="AC4" s="9"/>
      <c r="AD4" s="10"/>
      <c r="AE4" s="31" t="s">
        <v>5160</v>
      </c>
    </row>
    <row r="5" spans="1:31" ht="12.75">
      <c r="A5" s="4" t="s">
        <v>5161</v>
      </c>
      <c r="B5" s="1" t="s">
        <v>5162</v>
      </c>
      <c r="C5" s="1" t="s">
        <v>5163</v>
      </c>
      <c r="D5" s="1" t="s">
        <v>5164</v>
      </c>
      <c r="E5" s="2">
        <v>602</v>
      </c>
      <c r="F5" s="2">
        <v>44</v>
      </c>
      <c r="G5" s="3" t="s">
        <v>5144</v>
      </c>
      <c r="H5" s="3" t="s">
        <v>5165</v>
      </c>
      <c r="I5" s="3" t="s">
        <v>5166</v>
      </c>
      <c r="J5" s="44" t="str">
        <f>HYPERLINK("https://www.centcols.org/util/geo/visuGen.php?code=FR-01-0602a","FR-01-0602a")</f>
        <v>FR-01-0602a</v>
      </c>
      <c r="K5" s="3"/>
      <c r="L5" s="1"/>
      <c r="M5" s="8">
        <v>99</v>
      </c>
      <c r="N5" s="8">
        <v>20</v>
      </c>
      <c r="O5" s="4"/>
      <c r="P5" s="3"/>
      <c r="Q5" s="3" t="s">
        <v>5167</v>
      </c>
      <c r="R5" s="3" t="s">
        <v>5168</v>
      </c>
      <c r="S5" s="25">
        <v>5.428673</v>
      </c>
      <c r="T5" s="25">
        <v>45.92211</v>
      </c>
      <c r="U5" s="2">
        <v>31</v>
      </c>
      <c r="V5" s="3">
        <v>688320</v>
      </c>
      <c r="W5" s="3">
        <v>5088262</v>
      </c>
      <c r="X5" s="25">
        <v>3.4355643388951767</v>
      </c>
      <c r="Y5" s="25">
        <v>51.02459782575999</v>
      </c>
      <c r="Z5" s="6"/>
      <c r="AA5" s="7" t="s">
        <v>5138</v>
      </c>
      <c r="AB5" s="8">
        <v>2017</v>
      </c>
      <c r="AC5" s="9"/>
      <c r="AD5" s="10"/>
      <c r="AE5" s="31" t="s">
        <v>5149</v>
      </c>
    </row>
    <row r="6" spans="1:31" ht="12.75">
      <c r="A6" s="4" t="s">
        <v>5169</v>
      </c>
      <c r="B6" s="1" t="s">
        <v>5170</v>
      </c>
      <c r="C6" s="1" t="s">
        <v>5171</v>
      </c>
      <c r="D6" s="1" t="s">
        <v>5172</v>
      </c>
      <c r="E6" s="2">
        <v>690</v>
      </c>
      <c r="F6" s="2">
        <v>44</v>
      </c>
      <c r="G6" s="3" t="s">
        <v>5173</v>
      </c>
      <c r="H6" s="3" t="s">
        <v>5174</v>
      </c>
      <c r="I6" s="3" t="s">
        <v>5175</v>
      </c>
      <c r="J6" s="44" t="str">
        <f>HYPERLINK("https://www.centcols.org/util/geo/visuGen.php?code=FR-01-0690","FR-01-0690")</f>
        <v>FR-01-0690</v>
      </c>
      <c r="K6" s="3"/>
      <c r="L6" s="1" t="s">
        <v>5176</v>
      </c>
      <c r="M6" s="8">
        <v>99</v>
      </c>
      <c r="N6" s="8">
        <v>15</v>
      </c>
      <c r="O6" s="4"/>
      <c r="P6" s="3"/>
      <c r="Q6" s="3" t="s">
        <v>5177</v>
      </c>
      <c r="R6" s="3" t="s">
        <v>5178</v>
      </c>
      <c r="S6" s="25">
        <v>5.521855</v>
      </c>
      <c r="T6" s="25">
        <v>46.25822</v>
      </c>
      <c r="U6" s="2">
        <v>31</v>
      </c>
      <c r="V6" s="3">
        <v>694360</v>
      </c>
      <c r="W6" s="3">
        <v>5125829</v>
      </c>
      <c r="X6" s="25">
        <v>3.539100564156423</v>
      </c>
      <c r="Y6" s="25">
        <v>51.39806142077808</v>
      </c>
      <c r="Z6" s="6"/>
      <c r="AA6" s="7" t="s">
        <v>5138</v>
      </c>
      <c r="AB6" s="8">
        <v>2017</v>
      </c>
      <c r="AC6" s="9"/>
      <c r="AD6" s="10"/>
      <c r="AE6" s="31" t="s">
        <v>5149</v>
      </c>
    </row>
    <row r="7" spans="1:31" ht="12.75">
      <c r="A7" s="4" t="s">
        <v>5179</v>
      </c>
      <c r="B7" s="1" t="s">
        <v>5180</v>
      </c>
      <c r="C7" s="1" t="s">
        <v>5181</v>
      </c>
      <c r="D7" s="1" t="s">
        <v>5182</v>
      </c>
      <c r="E7" s="2">
        <v>765</v>
      </c>
      <c r="F7" s="2">
        <v>44</v>
      </c>
      <c r="G7" s="3" t="s">
        <v>5183</v>
      </c>
      <c r="H7" s="3" t="s">
        <v>5184</v>
      </c>
      <c r="I7" s="3" t="s">
        <v>5185</v>
      </c>
      <c r="J7" s="44" t="str">
        <f>HYPERLINK("https://www.centcols.org/util/geo/visuGen.php?code=FR-01-0765","FR-01-0765")</f>
        <v>FR-01-0765</v>
      </c>
      <c r="K7" s="3"/>
      <c r="L7" s="1" t="s">
        <v>5176</v>
      </c>
      <c r="M7" s="8">
        <v>99</v>
      </c>
      <c r="N7" s="8">
        <v>15</v>
      </c>
      <c r="O7" s="4"/>
      <c r="P7" s="3"/>
      <c r="Q7" s="3" t="s">
        <v>5186</v>
      </c>
      <c r="R7" s="3" t="s">
        <v>5187</v>
      </c>
      <c r="S7" s="25">
        <v>5.516304</v>
      </c>
      <c r="T7" s="25">
        <v>45.889401</v>
      </c>
      <c r="U7" s="2">
        <v>31</v>
      </c>
      <c r="V7" s="3">
        <v>695229</v>
      </c>
      <c r="W7" s="3">
        <v>5084838</v>
      </c>
      <c r="X7" s="25">
        <v>3.532929</v>
      </c>
      <c r="Y7" s="25">
        <v>50.988254</v>
      </c>
      <c r="Z7" s="6"/>
      <c r="AA7" s="7" t="s">
        <v>5138</v>
      </c>
      <c r="AB7" s="8">
        <v>2016</v>
      </c>
      <c r="AC7" s="9">
        <v>42593</v>
      </c>
      <c r="AD7" s="10"/>
      <c r="AE7" s="31" t="s">
        <v>5188</v>
      </c>
    </row>
    <row r="8" spans="1:31" ht="12.75">
      <c r="A8" s="18" t="s">
        <v>1042</v>
      </c>
      <c r="B8" s="46" t="s">
        <v>329</v>
      </c>
      <c r="C8" s="46" t="s">
        <v>1043</v>
      </c>
      <c r="D8" s="46" t="s">
        <v>1044</v>
      </c>
      <c r="E8" s="47">
        <v>804</v>
      </c>
      <c r="F8" s="47">
        <v>44</v>
      </c>
      <c r="G8" s="47" t="s">
        <v>5144</v>
      </c>
      <c r="H8" s="47" t="s">
        <v>1045</v>
      </c>
      <c r="I8" s="47" t="s">
        <v>1046</v>
      </c>
      <c r="J8" s="44" t="str">
        <f>HYPERLINK("https://www.centcols.org/util/geo/visuGen.php?code=FR-01-0804","FR-01-0804")</f>
        <v>FR-01-0804</v>
      </c>
      <c r="K8" s="48"/>
      <c r="L8" s="46" t="s">
        <v>5257</v>
      </c>
      <c r="M8" s="47">
        <v>1</v>
      </c>
      <c r="N8" s="47">
        <v>10</v>
      </c>
      <c r="O8" s="48"/>
      <c r="P8" s="48"/>
      <c r="Q8" s="47" t="s">
        <v>1047</v>
      </c>
      <c r="R8" s="47" t="s">
        <v>6934</v>
      </c>
      <c r="S8" s="114">
        <v>5.459751</v>
      </c>
      <c r="T8" s="114">
        <v>45.941767</v>
      </c>
      <c r="U8" s="47">
        <v>31</v>
      </c>
      <c r="V8" s="3">
        <v>690662</v>
      </c>
      <c r="W8" s="3">
        <v>5090519</v>
      </c>
      <c r="X8" s="114">
        <v>3.470094</v>
      </c>
      <c r="Y8" s="114">
        <v>51.046439</v>
      </c>
      <c r="Z8" s="48"/>
      <c r="AA8" s="7" t="s">
        <v>5138</v>
      </c>
      <c r="AB8" s="49">
        <v>2020</v>
      </c>
      <c r="AE8" s="103" t="s">
        <v>6682</v>
      </c>
    </row>
    <row r="9" spans="1:31" ht="12.75">
      <c r="A9" s="4" t="s">
        <v>5189</v>
      </c>
      <c r="B9" s="1" t="s">
        <v>5190</v>
      </c>
      <c r="C9" s="1" t="s">
        <v>5191</v>
      </c>
      <c r="D9" s="1" t="s">
        <v>5192</v>
      </c>
      <c r="E9" s="2">
        <v>914</v>
      </c>
      <c r="F9" s="2">
        <v>44</v>
      </c>
      <c r="G9" s="3" t="s">
        <v>5193</v>
      </c>
      <c r="H9" s="3" t="s">
        <v>5194</v>
      </c>
      <c r="I9" s="3" t="s">
        <v>5195</v>
      </c>
      <c r="J9" s="44" t="str">
        <f>HYPERLINK("https://www.centcols.org/util/geo/visuGen.php?code=FR-01-0914a","FR-01-0914a")</f>
        <v>FR-01-0914a</v>
      </c>
      <c r="K9" s="3" t="s">
        <v>5196</v>
      </c>
      <c r="L9" s="1" t="s">
        <v>5197</v>
      </c>
      <c r="M9" s="8">
        <v>0</v>
      </c>
      <c r="N9" s="8">
        <v>0</v>
      </c>
      <c r="O9" s="4"/>
      <c r="P9" s="3"/>
      <c r="Q9" s="3" t="s">
        <v>5198</v>
      </c>
      <c r="R9" s="3" t="s">
        <v>5199</v>
      </c>
      <c r="S9" s="25">
        <v>5.730146495122607</v>
      </c>
      <c r="T9" s="25">
        <v>45.98145951011492</v>
      </c>
      <c r="U9" s="2">
        <v>31</v>
      </c>
      <c r="V9" s="3">
        <v>711470</v>
      </c>
      <c r="W9" s="3">
        <v>5095612</v>
      </c>
      <c r="X9" s="25">
        <v>3.770523111988145</v>
      </c>
      <c r="Y9" s="25">
        <v>51.09054351706323</v>
      </c>
      <c r="Z9" s="6"/>
      <c r="AA9" s="7" t="s">
        <v>5138</v>
      </c>
      <c r="AB9" s="8">
        <v>2007</v>
      </c>
      <c r="AC9" s="9"/>
      <c r="AD9" s="10">
        <v>1</v>
      </c>
      <c r="AE9" s="31" t="s">
        <v>5200</v>
      </c>
    </row>
    <row r="10" spans="1:31" ht="12.75">
      <c r="A10" s="50" t="s">
        <v>1279</v>
      </c>
      <c r="B10" s="50" t="s">
        <v>1280</v>
      </c>
      <c r="C10" s="18" t="s">
        <v>1281</v>
      </c>
      <c r="D10" s="50" t="s">
        <v>1282</v>
      </c>
      <c r="E10" s="24">
        <v>925</v>
      </c>
      <c r="F10" s="19">
        <v>44</v>
      </c>
      <c r="G10" s="19" t="s">
        <v>5193</v>
      </c>
      <c r="H10" s="19" t="s">
        <v>1283</v>
      </c>
      <c r="I10" s="19" t="s">
        <v>1284</v>
      </c>
      <c r="J10" s="81" t="str">
        <f>HYPERLINK("https://www.centcols.org/util/geo/visuGen.php?code=FR-01-0925a","FR-01-0925a")</f>
        <v>FR-01-0925a</v>
      </c>
      <c r="K10" s="18" t="s">
        <v>1285</v>
      </c>
      <c r="L10" s="50" t="s">
        <v>3819</v>
      </c>
      <c r="M10" s="24">
        <v>0</v>
      </c>
      <c r="N10" s="24">
        <v>0</v>
      </c>
      <c r="O10" s="51"/>
      <c r="P10" s="51"/>
      <c r="Q10" s="24" t="s">
        <v>1286</v>
      </c>
      <c r="R10" s="24" t="s">
        <v>6935</v>
      </c>
      <c r="S10" s="25">
        <v>5.652052</v>
      </c>
      <c r="T10" s="25">
        <v>46.046175</v>
      </c>
      <c r="U10" s="24">
        <v>31</v>
      </c>
      <c r="V10" s="3">
        <v>705181</v>
      </c>
      <c r="W10" s="3">
        <v>5102598</v>
      </c>
      <c r="X10" s="59">
        <v>3.683755</v>
      </c>
      <c r="Y10" s="59">
        <v>51.162451</v>
      </c>
      <c r="Z10" s="19"/>
      <c r="AA10" s="19" t="s">
        <v>5138</v>
      </c>
      <c r="AB10" s="52">
        <v>2020</v>
      </c>
      <c r="AC10" s="53"/>
      <c r="AD10" s="53"/>
      <c r="AE10" s="29" t="s">
        <v>1305</v>
      </c>
    </row>
    <row r="11" spans="1:31" ht="12.75">
      <c r="A11" s="4" t="s">
        <v>5201</v>
      </c>
      <c r="B11" s="1" t="s">
        <v>5202</v>
      </c>
      <c r="C11" s="1" t="s">
        <v>5203</v>
      </c>
      <c r="D11" s="1" t="s">
        <v>5204</v>
      </c>
      <c r="E11" s="2">
        <v>974</v>
      </c>
      <c r="F11" s="2">
        <v>44</v>
      </c>
      <c r="G11" s="3" t="s">
        <v>5193</v>
      </c>
      <c r="H11" s="3" t="s">
        <v>5205</v>
      </c>
      <c r="I11" s="3" t="s">
        <v>5206</v>
      </c>
      <c r="J11" s="44" t="str">
        <f>HYPERLINK("https://www.centcols.org/util/geo/visuGen.php?code=FR-01-0974","FR-01-0974")</f>
        <v>FR-01-0974</v>
      </c>
      <c r="K11" s="3" t="s">
        <v>5207</v>
      </c>
      <c r="L11" s="1" t="s">
        <v>5208</v>
      </c>
      <c r="M11" s="8">
        <v>0</v>
      </c>
      <c r="N11" s="8">
        <v>0</v>
      </c>
      <c r="O11" s="4"/>
      <c r="P11" s="3"/>
      <c r="Q11" s="3" t="s">
        <v>5209</v>
      </c>
      <c r="R11" s="3" t="s">
        <v>5210</v>
      </c>
      <c r="S11" s="25">
        <v>5.623187199308771</v>
      </c>
      <c r="T11" s="25">
        <v>45.96755358951675</v>
      </c>
      <c r="U11" s="2">
        <v>31</v>
      </c>
      <c r="V11" s="3">
        <v>703236</v>
      </c>
      <c r="W11" s="3">
        <v>5093788</v>
      </c>
      <c r="X11" s="25">
        <v>3.651684050188708</v>
      </c>
      <c r="Y11" s="25">
        <v>51.07509216128947</v>
      </c>
      <c r="Z11" s="6"/>
      <c r="AA11" s="7" t="s">
        <v>5138</v>
      </c>
      <c r="AB11" s="8">
        <v>2003</v>
      </c>
      <c r="AC11" s="9"/>
      <c r="AD11" s="10">
        <v>1</v>
      </c>
      <c r="AE11" s="31" t="s">
        <v>5211</v>
      </c>
    </row>
    <row r="12" spans="1:31" ht="22.5">
      <c r="A12" s="4" t="s">
        <v>5212</v>
      </c>
      <c r="B12" s="1" t="s">
        <v>5213</v>
      </c>
      <c r="C12" s="1" t="s">
        <v>5214</v>
      </c>
      <c r="D12" s="1" t="s">
        <v>5215</v>
      </c>
      <c r="E12" s="2">
        <v>994</v>
      </c>
      <c r="F12" s="2">
        <v>44</v>
      </c>
      <c r="G12" s="3" t="s">
        <v>5216</v>
      </c>
      <c r="H12" s="3" t="s">
        <v>5217</v>
      </c>
      <c r="I12" s="3" t="s">
        <v>5218</v>
      </c>
      <c r="J12" s="44" t="str">
        <f>HYPERLINK("https://www.centcols.org/util/geo/visuGen.php?code=FR-01-0994","FR-01-0994")</f>
        <v>FR-01-0994</v>
      </c>
      <c r="K12" s="3"/>
      <c r="L12" s="1" t="s">
        <v>5138</v>
      </c>
      <c r="M12" s="8">
        <v>35</v>
      </c>
      <c r="N12" s="8">
        <v>10</v>
      </c>
      <c r="O12" s="4"/>
      <c r="P12" s="3"/>
      <c r="Q12" s="3" t="s">
        <v>5219</v>
      </c>
      <c r="R12" s="3" t="s">
        <v>5220</v>
      </c>
      <c r="S12" s="25">
        <v>5.645117510626643</v>
      </c>
      <c r="T12" s="25">
        <v>46.12831967500473</v>
      </c>
      <c r="U12" s="2">
        <v>31</v>
      </c>
      <c r="V12" s="3">
        <v>704341</v>
      </c>
      <c r="W12" s="3">
        <v>5111706</v>
      </c>
      <c r="X12" s="25">
        <v>3.6760521358448837</v>
      </c>
      <c r="Y12" s="25">
        <v>51.25372440857761</v>
      </c>
      <c r="Z12" s="6"/>
      <c r="AA12" s="7" t="s">
        <v>5138</v>
      </c>
      <c r="AB12" s="8">
        <v>2011</v>
      </c>
      <c r="AC12" s="9"/>
      <c r="AD12" s="10">
        <v>1</v>
      </c>
      <c r="AE12" s="31" t="s">
        <v>5221</v>
      </c>
    </row>
    <row r="13" spans="1:31" ht="12.75">
      <c r="A13" s="4" t="s">
        <v>5222</v>
      </c>
      <c r="B13" s="1" t="s">
        <v>5162</v>
      </c>
      <c r="C13" s="1" t="s">
        <v>5223</v>
      </c>
      <c r="D13" s="1" t="s">
        <v>5224</v>
      </c>
      <c r="E13" s="2">
        <v>1021</v>
      </c>
      <c r="F13" s="2">
        <v>44</v>
      </c>
      <c r="G13" s="3" t="s">
        <v>5193</v>
      </c>
      <c r="H13" s="3" t="s">
        <v>5225</v>
      </c>
      <c r="I13" s="3" t="s">
        <v>5226</v>
      </c>
      <c r="J13" s="44" t="str">
        <f>HYPERLINK("https://www.centcols.org/util/geo/visuGen.php?code=FR-01-1021","FR-01-1021")</f>
        <v>FR-01-1021</v>
      </c>
      <c r="K13" s="3" t="s">
        <v>5227</v>
      </c>
      <c r="L13" s="1" t="s">
        <v>5228</v>
      </c>
      <c r="M13" s="8">
        <v>0</v>
      </c>
      <c r="N13" s="8">
        <v>0</v>
      </c>
      <c r="O13" s="4"/>
      <c r="P13" s="3"/>
      <c r="Q13" s="3" t="s">
        <v>5229</v>
      </c>
      <c r="R13" s="3" t="s">
        <v>5230</v>
      </c>
      <c r="S13" s="25">
        <v>5.636586866784027</v>
      </c>
      <c r="T13" s="25">
        <v>46.03256082069888</v>
      </c>
      <c r="U13" s="2">
        <v>31</v>
      </c>
      <c r="V13" s="3">
        <v>704035</v>
      </c>
      <c r="W13" s="3">
        <v>5101045</v>
      </c>
      <c r="X13" s="25">
        <v>3.666572706222284</v>
      </c>
      <c r="Y13" s="25">
        <v>51.1473237795947</v>
      </c>
      <c r="Z13" s="6"/>
      <c r="AA13" s="7" t="s">
        <v>5138</v>
      </c>
      <c r="AB13" s="8">
        <v>2007</v>
      </c>
      <c r="AC13" s="9"/>
      <c r="AD13" s="10">
        <v>1</v>
      </c>
      <c r="AE13" s="31" t="s">
        <v>5231</v>
      </c>
    </row>
    <row r="14" spans="1:31" ht="12.75">
      <c r="A14" s="83" t="s">
        <v>6841</v>
      </c>
      <c r="B14" s="37" t="s">
        <v>1280</v>
      </c>
      <c r="C14" s="37" t="s">
        <v>6842</v>
      </c>
      <c r="D14" s="37" t="s">
        <v>6843</v>
      </c>
      <c r="E14" s="38">
        <v>1096</v>
      </c>
      <c r="F14" s="38">
        <v>44</v>
      </c>
      <c r="G14" s="39" t="s">
        <v>5193</v>
      </c>
      <c r="H14" s="39" t="s">
        <v>6844</v>
      </c>
      <c r="I14" s="39" t="s">
        <v>6845</v>
      </c>
      <c r="J14" s="113" t="str">
        <f>HYPERLINK("https://www.centcols.org/util/geo/visuGen.php?code=FR-01-1096a","FR-01-1096a")</f>
        <v>FR-01-1096a</v>
      </c>
      <c r="K14" s="39"/>
      <c r="L14" s="37" t="s">
        <v>5257</v>
      </c>
      <c r="M14" s="38">
        <v>1</v>
      </c>
      <c r="N14" s="38">
        <v>10</v>
      </c>
      <c r="O14" s="39"/>
      <c r="P14" s="39"/>
      <c r="Q14" s="39" t="s">
        <v>6846</v>
      </c>
      <c r="R14" s="39" t="s">
        <v>6936</v>
      </c>
      <c r="S14" s="40">
        <v>5.739147</v>
      </c>
      <c r="T14" s="40">
        <v>46.024072</v>
      </c>
      <c r="U14" s="41">
        <v>31</v>
      </c>
      <c r="V14" s="3">
        <v>712004</v>
      </c>
      <c r="W14" s="3">
        <v>5100370</v>
      </c>
      <c r="X14" s="40">
        <v>3.7805237914363294</v>
      </c>
      <c r="Y14" s="40">
        <v>51.13789135426967</v>
      </c>
      <c r="AA14" s="19" t="s">
        <v>5138</v>
      </c>
      <c r="AB14" s="52">
        <v>2020</v>
      </c>
      <c r="AE14" s="53" t="s">
        <v>6847</v>
      </c>
    </row>
    <row r="15" spans="1:31" ht="12.75">
      <c r="A15" s="4" t="s">
        <v>5232</v>
      </c>
      <c r="B15" s="1" t="s">
        <v>5233</v>
      </c>
      <c r="C15" s="1" t="s">
        <v>5234</v>
      </c>
      <c r="D15" s="1" t="s">
        <v>5235</v>
      </c>
      <c r="E15" s="2">
        <v>1122</v>
      </c>
      <c r="F15" s="2">
        <v>51</v>
      </c>
      <c r="G15" s="3" t="s">
        <v>5183</v>
      </c>
      <c r="H15" s="3" t="s">
        <v>5236</v>
      </c>
      <c r="I15" s="3" t="s">
        <v>5237</v>
      </c>
      <c r="J15" s="44" t="str">
        <f>HYPERLINK("https://www.centcols.org/util/geo/visuGen.php?code=FR-01-1122","FR-01-1122")</f>
        <v>FR-01-1122</v>
      </c>
      <c r="K15" s="3"/>
      <c r="L15" s="1"/>
      <c r="M15" s="8">
        <v>99</v>
      </c>
      <c r="N15" s="8">
        <v>20</v>
      </c>
      <c r="O15" s="4"/>
      <c r="P15" s="3"/>
      <c r="Q15" s="3" t="s">
        <v>5238</v>
      </c>
      <c r="R15" s="3" t="s">
        <v>5239</v>
      </c>
      <c r="S15" s="25">
        <v>5.575658</v>
      </c>
      <c r="T15" s="25">
        <v>45.816485</v>
      </c>
      <c r="U15" s="2">
        <v>31</v>
      </c>
      <c r="V15" s="3">
        <v>700096</v>
      </c>
      <c r="W15" s="3">
        <v>5076884</v>
      </c>
      <c r="X15" s="25">
        <v>3.598874085841663</v>
      </c>
      <c r="Y15" s="25">
        <v>50.907234890643885</v>
      </c>
      <c r="Z15" s="6"/>
      <c r="AA15" s="7" t="s">
        <v>5138</v>
      </c>
      <c r="AB15" s="8">
        <v>2017</v>
      </c>
      <c r="AC15" s="9"/>
      <c r="AD15" s="10"/>
      <c r="AE15" s="31" t="s">
        <v>5149</v>
      </c>
    </row>
    <row r="16" spans="1:31" ht="12.75">
      <c r="A16" s="83" t="s">
        <v>6848</v>
      </c>
      <c r="B16" s="37" t="s">
        <v>1280</v>
      </c>
      <c r="C16" s="37" t="s">
        <v>6849</v>
      </c>
      <c r="D16" s="37" t="s">
        <v>6850</v>
      </c>
      <c r="E16" s="38">
        <v>1125</v>
      </c>
      <c r="F16" s="38">
        <v>44</v>
      </c>
      <c r="G16" s="39" t="s">
        <v>5193</v>
      </c>
      <c r="H16" s="39" t="s">
        <v>6851</v>
      </c>
      <c r="I16" s="39" t="s">
        <v>6852</v>
      </c>
      <c r="J16" s="113" t="str">
        <f>HYPERLINK("https://www.centcols.org/util/geo/visuGen.php?code=FR-01-1125","FR-01-1125")</f>
        <v>FR-01-1125</v>
      </c>
      <c r="K16" s="39"/>
      <c r="L16" s="37" t="s">
        <v>5257</v>
      </c>
      <c r="M16" s="38">
        <v>1</v>
      </c>
      <c r="N16" s="38">
        <v>10</v>
      </c>
      <c r="O16" s="39"/>
      <c r="P16" s="39"/>
      <c r="Q16" s="39" t="s">
        <v>6853</v>
      </c>
      <c r="R16" s="39" t="s">
        <v>6937</v>
      </c>
      <c r="S16" s="40">
        <v>5.7361</v>
      </c>
      <c r="T16" s="40">
        <v>46.021353</v>
      </c>
      <c r="U16" s="41">
        <v>31</v>
      </c>
      <c r="V16" s="3" t="s">
        <v>7018</v>
      </c>
      <c r="W16" s="3" t="s">
        <v>7022</v>
      </c>
      <c r="X16" s="40">
        <v>3.777138335707941</v>
      </c>
      <c r="Y16" s="40">
        <v>51.13487021554207</v>
      </c>
      <c r="AA16" s="19" t="s">
        <v>5138</v>
      </c>
      <c r="AB16" s="52">
        <v>2020</v>
      </c>
      <c r="AE16" s="53" t="s">
        <v>6854</v>
      </c>
    </row>
    <row r="17" spans="1:31" ht="12.75">
      <c r="A17" s="4" t="s">
        <v>5240</v>
      </c>
      <c r="B17" s="1" t="s">
        <v>5241</v>
      </c>
      <c r="C17" s="1" t="s">
        <v>5242</v>
      </c>
      <c r="D17" s="1" t="s">
        <v>5243</v>
      </c>
      <c r="E17" s="2">
        <v>1134</v>
      </c>
      <c r="F17" s="2">
        <v>44</v>
      </c>
      <c r="G17" s="3" t="s">
        <v>5193</v>
      </c>
      <c r="H17" s="3" t="s">
        <v>5244</v>
      </c>
      <c r="I17" s="3" t="s">
        <v>5245</v>
      </c>
      <c r="J17" s="44" t="str">
        <f>HYPERLINK("https://www.centcols.org/util/geo/visuGen.php?code=FR-01-1134","FR-01-1134")</f>
        <v>FR-01-1134</v>
      </c>
      <c r="K17" s="3"/>
      <c r="L17" s="1" t="s">
        <v>5246</v>
      </c>
      <c r="M17" s="8">
        <v>2</v>
      </c>
      <c r="N17" s="8">
        <v>10</v>
      </c>
      <c r="O17" s="4"/>
      <c r="P17" s="3"/>
      <c r="Q17" s="3" t="s">
        <v>5247</v>
      </c>
      <c r="R17" s="3" t="s">
        <v>5248</v>
      </c>
      <c r="S17" s="25">
        <v>5.6220719247131745</v>
      </c>
      <c r="T17" s="25">
        <v>45.96395197493636</v>
      </c>
      <c r="U17" s="2">
        <v>31</v>
      </c>
      <c r="V17" s="3">
        <v>703163</v>
      </c>
      <c r="W17" s="3">
        <v>5093385</v>
      </c>
      <c r="X17" s="25">
        <v>3.6504448691354123</v>
      </c>
      <c r="Y17" s="25">
        <v>51.071090289838835</v>
      </c>
      <c r="Z17" s="6"/>
      <c r="AA17" s="7" t="s">
        <v>5138</v>
      </c>
      <c r="AB17" s="8">
        <v>2014</v>
      </c>
      <c r="AC17" s="9">
        <v>41769</v>
      </c>
      <c r="AD17" s="10"/>
      <c r="AE17" s="31" t="s">
        <v>5249</v>
      </c>
    </row>
    <row r="18" spans="1:31" ht="12.75">
      <c r="A18" s="4" t="s">
        <v>5250</v>
      </c>
      <c r="B18" s="1" t="s">
        <v>5251</v>
      </c>
      <c r="C18" s="1" t="s">
        <v>5252</v>
      </c>
      <c r="D18" s="1" t="s">
        <v>5253</v>
      </c>
      <c r="E18" s="2">
        <v>1170</v>
      </c>
      <c r="F18" s="2">
        <v>44</v>
      </c>
      <c r="G18" s="3" t="s">
        <v>5254</v>
      </c>
      <c r="H18" s="3" t="s">
        <v>5255</v>
      </c>
      <c r="I18" s="3" t="s">
        <v>5256</v>
      </c>
      <c r="J18" s="44" t="str">
        <f>HYPERLINK("https://www.centcols.org/util/geo/visuGen.php?code=FR-01-1170","FR-01-1170")</f>
        <v>FR-01-1170</v>
      </c>
      <c r="K18" s="3"/>
      <c r="L18" s="1" t="s">
        <v>5257</v>
      </c>
      <c r="M18" s="8">
        <v>1</v>
      </c>
      <c r="N18" s="8">
        <v>10</v>
      </c>
      <c r="O18" s="4"/>
      <c r="P18" s="3"/>
      <c r="Q18" s="3" t="s">
        <v>5258</v>
      </c>
      <c r="R18" s="3" t="s">
        <v>5259</v>
      </c>
      <c r="S18" s="25">
        <v>5.834247899634988</v>
      </c>
      <c r="T18" s="25">
        <v>46.239178303248856</v>
      </c>
      <c r="U18" s="2">
        <v>31</v>
      </c>
      <c r="V18" s="3">
        <v>718511</v>
      </c>
      <c r="W18" s="3">
        <v>5124527</v>
      </c>
      <c r="X18" s="25">
        <v>3.886191167585384</v>
      </c>
      <c r="Y18" s="25">
        <v>51.37690041004688</v>
      </c>
      <c r="Z18" s="6"/>
      <c r="AA18" s="7" t="s">
        <v>5138</v>
      </c>
      <c r="AB18" s="8">
        <v>2007</v>
      </c>
      <c r="AC18" s="9"/>
      <c r="AD18" s="10">
        <v>1</v>
      </c>
      <c r="AE18" s="31" t="s">
        <v>5260</v>
      </c>
    </row>
    <row r="19" spans="1:31" ht="12.75">
      <c r="A19" s="18" t="s">
        <v>5261</v>
      </c>
      <c r="B19" s="20" t="s">
        <v>5262</v>
      </c>
      <c r="C19" s="20" t="s">
        <v>5263</v>
      </c>
      <c r="D19" s="20" t="s">
        <v>5263</v>
      </c>
      <c r="E19" s="19">
        <v>1360</v>
      </c>
      <c r="F19" s="14">
        <v>45</v>
      </c>
      <c r="G19" s="19" t="s">
        <v>5264</v>
      </c>
      <c r="H19" s="19" t="s">
        <v>5265</v>
      </c>
      <c r="I19" s="19" t="s">
        <v>5266</v>
      </c>
      <c r="J19" s="44" t="str">
        <f>HYPERLINK("https://www.centcols.org/util/geo/visuGen.php?code=FR-01-1360","FR-01-1360")</f>
        <v>FR-01-1360</v>
      </c>
      <c r="K19" s="19"/>
      <c r="L19" s="20" t="s">
        <v>5176</v>
      </c>
      <c r="M19" s="19">
        <v>99</v>
      </c>
      <c r="N19" s="19">
        <v>15</v>
      </c>
      <c r="O19" s="18"/>
      <c r="P19" s="19"/>
      <c r="Q19" s="19" t="s">
        <v>5267</v>
      </c>
      <c r="R19" s="19" t="s">
        <v>5268</v>
      </c>
      <c r="S19" s="59">
        <v>6.089128</v>
      </c>
      <c r="T19" s="59">
        <v>46.398245</v>
      </c>
      <c r="U19" s="19">
        <v>32</v>
      </c>
      <c r="V19" s="3">
        <v>276232</v>
      </c>
      <c r="W19" s="3">
        <v>5142415</v>
      </c>
      <c r="X19" s="59">
        <v>4.169382</v>
      </c>
      <c r="Y19" s="59">
        <v>51.553643</v>
      </c>
      <c r="Z19" s="18"/>
      <c r="AA19" s="19" t="s">
        <v>5138</v>
      </c>
      <c r="AB19" s="11">
        <v>2018</v>
      </c>
      <c r="AC19" s="12">
        <v>43250</v>
      </c>
      <c r="AD19" s="54"/>
      <c r="AE19" s="23" t="s">
        <v>5269</v>
      </c>
    </row>
    <row r="20" spans="1:31" ht="12.75">
      <c r="A20" s="32" t="s">
        <v>5270</v>
      </c>
      <c r="B20" s="20" t="s">
        <v>5262</v>
      </c>
      <c r="C20" s="20" t="s">
        <v>5271</v>
      </c>
      <c r="D20" s="13" t="s">
        <v>5271</v>
      </c>
      <c r="E20" s="14">
        <v>71</v>
      </c>
      <c r="F20" s="14">
        <v>9</v>
      </c>
      <c r="G20" s="15" t="s">
        <v>5272</v>
      </c>
      <c r="H20" s="15" t="s">
        <v>5273</v>
      </c>
      <c r="I20" s="15" t="s">
        <v>5274</v>
      </c>
      <c r="J20" s="44" t="str">
        <f>HYPERLINK("https://www.centcols.org/util/geo/visuGen.php?code=FR-02-0071","FR-02-0071")</f>
        <v>FR-02-0071</v>
      </c>
      <c r="K20" s="15"/>
      <c r="L20" s="13"/>
      <c r="M20" s="14">
        <v>99</v>
      </c>
      <c r="N20" s="14">
        <v>20</v>
      </c>
      <c r="O20" s="16"/>
      <c r="P20" s="15"/>
      <c r="Q20" s="15" t="s">
        <v>5275</v>
      </c>
      <c r="R20" s="15" t="s">
        <v>5276</v>
      </c>
      <c r="S20" s="59">
        <v>3.338328</v>
      </c>
      <c r="T20" s="59">
        <v>49.593874</v>
      </c>
      <c r="U20" s="17">
        <v>31</v>
      </c>
      <c r="V20" s="3">
        <v>524451</v>
      </c>
      <c r="W20" s="3">
        <v>5493532</v>
      </c>
      <c r="X20" s="59">
        <v>1.1130713879077192</v>
      </c>
      <c r="Y20" s="59">
        <v>55.10437748855222</v>
      </c>
      <c r="Z20" s="18"/>
      <c r="AA20" s="19" t="s">
        <v>5138</v>
      </c>
      <c r="AB20" s="19">
        <v>2018</v>
      </c>
      <c r="AC20" s="12">
        <v>43250</v>
      </c>
      <c r="AD20" s="19"/>
      <c r="AE20" s="23" t="s">
        <v>5277</v>
      </c>
    </row>
    <row r="21" spans="1:31" ht="12.75">
      <c r="A21" s="32" t="s">
        <v>5278</v>
      </c>
      <c r="B21" s="20" t="s">
        <v>5279</v>
      </c>
      <c r="C21" s="20" t="s">
        <v>5280</v>
      </c>
      <c r="D21" s="13" t="s">
        <v>5281</v>
      </c>
      <c r="E21" s="14">
        <v>97</v>
      </c>
      <c r="F21" s="14">
        <v>9</v>
      </c>
      <c r="G21" s="15" t="s">
        <v>5282</v>
      </c>
      <c r="H21" s="15" t="s">
        <v>5283</v>
      </c>
      <c r="I21" s="15" t="s">
        <v>5284</v>
      </c>
      <c r="J21" s="44" t="str">
        <f>HYPERLINK("https://www.centcols.org/util/geo/visuGen.php?code=FR-02-0097","FR-02-0097")</f>
        <v>FR-02-0097</v>
      </c>
      <c r="K21" s="15"/>
      <c r="L21" s="13"/>
      <c r="M21" s="14">
        <v>99</v>
      </c>
      <c r="N21" s="14">
        <v>20</v>
      </c>
      <c r="O21" s="16"/>
      <c r="P21" s="15"/>
      <c r="Q21" s="15" t="s">
        <v>5285</v>
      </c>
      <c r="R21" s="15" t="s">
        <v>5286</v>
      </c>
      <c r="S21" s="59">
        <v>3.429925</v>
      </c>
      <c r="T21" s="59">
        <v>49.513121</v>
      </c>
      <c r="U21" s="17">
        <v>31</v>
      </c>
      <c r="V21" s="3">
        <v>531121</v>
      </c>
      <c r="W21" s="3">
        <v>5484588</v>
      </c>
      <c r="X21" s="59">
        <v>1.21484088114151</v>
      </c>
      <c r="Y21" s="59">
        <v>55.014653341210156</v>
      </c>
      <c r="Z21" s="18"/>
      <c r="AA21" s="19" t="s">
        <v>5138</v>
      </c>
      <c r="AB21" s="19">
        <v>2018</v>
      </c>
      <c r="AC21" s="12">
        <v>43250</v>
      </c>
      <c r="AD21" s="19"/>
      <c r="AE21" s="23" t="s">
        <v>5287</v>
      </c>
    </row>
    <row r="22" spans="1:31" ht="12.75">
      <c r="A22" s="13" t="s">
        <v>5288</v>
      </c>
      <c r="B22" s="1" t="s">
        <v>5289</v>
      </c>
      <c r="C22" s="1" t="s">
        <v>5290</v>
      </c>
      <c r="D22" s="1" t="s">
        <v>5291</v>
      </c>
      <c r="E22" s="2">
        <v>124</v>
      </c>
      <c r="F22" s="2">
        <v>4</v>
      </c>
      <c r="G22" s="3" t="s">
        <v>5292</v>
      </c>
      <c r="H22" s="3" t="s">
        <v>5293</v>
      </c>
      <c r="I22" s="3" t="s">
        <v>5294</v>
      </c>
      <c r="J22" s="44" t="str">
        <f>HYPERLINK("https://www.centcols.org/util/geo/visuGen.php?code=FR-02-0124","FR-02-0124")</f>
        <v>FR-02-0124</v>
      </c>
      <c r="K22" s="3"/>
      <c r="L22" s="1" t="s">
        <v>5138</v>
      </c>
      <c r="M22" s="2">
        <v>1</v>
      </c>
      <c r="N22" s="2">
        <v>10</v>
      </c>
      <c r="O22" s="5"/>
      <c r="P22" s="3"/>
      <c r="Q22" s="3" t="s">
        <v>5295</v>
      </c>
      <c r="R22" s="3" t="s">
        <v>5296</v>
      </c>
      <c r="S22" s="59">
        <v>3.84437</v>
      </c>
      <c r="T22" s="59">
        <v>49.903498</v>
      </c>
      <c r="U22" s="22">
        <v>31</v>
      </c>
      <c r="V22" s="3">
        <v>560634</v>
      </c>
      <c r="W22" s="3">
        <v>5528243</v>
      </c>
      <c r="X22" s="25">
        <v>1.6753153617185506</v>
      </c>
      <c r="Y22" s="25">
        <v>55.448403721313234</v>
      </c>
      <c r="Z22" s="18"/>
      <c r="AA22" s="19" t="s">
        <v>5138</v>
      </c>
      <c r="AB22" s="19">
        <v>2018</v>
      </c>
      <c r="AC22" s="12">
        <v>43250</v>
      </c>
      <c r="AD22" s="19"/>
      <c r="AE22" s="23" t="s">
        <v>5297</v>
      </c>
    </row>
    <row r="23" spans="1:31" ht="12.75">
      <c r="A23" s="104" t="s">
        <v>5298</v>
      </c>
      <c r="B23" s="1" t="s">
        <v>5299</v>
      </c>
      <c r="C23" s="1" t="s">
        <v>5300</v>
      </c>
      <c r="D23" s="1" t="s">
        <v>5301</v>
      </c>
      <c r="E23" s="2">
        <v>125</v>
      </c>
      <c r="F23" s="2">
        <v>9</v>
      </c>
      <c r="G23" s="3" t="s">
        <v>5302</v>
      </c>
      <c r="H23" s="3" t="s">
        <v>5303</v>
      </c>
      <c r="I23" s="3" t="s">
        <v>5406</v>
      </c>
      <c r="J23" s="44" t="str">
        <f>HYPERLINK("https://www.centcols.org/util/geo/visuGen.php?code=FR-02-0125","FR-02-0125")</f>
        <v>FR-02-0125</v>
      </c>
      <c r="K23" s="3" t="s">
        <v>5407</v>
      </c>
      <c r="L23" s="1" t="s">
        <v>5157</v>
      </c>
      <c r="M23" s="2">
        <v>0</v>
      </c>
      <c r="N23" s="2">
        <v>0</v>
      </c>
      <c r="O23" s="5"/>
      <c r="P23" s="3"/>
      <c r="Q23" s="3" t="s">
        <v>5408</v>
      </c>
      <c r="R23" s="3" t="s">
        <v>5409</v>
      </c>
      <c r="S23" s="59">
        <v>3.186671</v>
      </c>
      <c r="T23" s="59">
        <v>49.364527</v>
      </c>
      <c r="U23" s="22">
        <v>31</v>
      </c>
      <c r="V23" s="3">
        <v>513554</v>
      </c>
      <c r="W23" s="3">
        <v>5467997</v>
      </c>
      <c r="X23" s="25">
        <v>0.9445681794108268</v>
      </c>
      <c r="Y23" s="25">
        <v>54.84954894375617</v>
      </c>
      <c r="Z23" s="18"/>
      <c r="AA23" s="19" t="s">
        <v>5138</v>
      </c>
      <c r="AB23" s="19">
        <v>2018</v>
      </c>
      <c r="AC23" s="12">
        <v>43250</v>
      </c>
      <c r="AD23" s="19"/>
      <c r="AE23" s="23" t="s">
        <v>5410</v>
      </c>
    </row>
    <row r="24" spans="1:31" ht="12.75">
      <c r="A24" s="32" t="s">
        <v>5411</v>
      </c>
      <c r="B24" s="20" t="s">
        <v>5262</v>
      </c>
      <c r="C24" s="20" t="s">
        <v>5412</v>
      </c>
      <c r="D24" s="13" t="s">
        <v>5413</v>
      </c>
      <c r="E24" s="14">
        <v>128</v>
      </c>
      <c r="F24" s="14">
        <v>9</v>
      </c>
      <c r="G24" s="15" t="s">
        <v>5272</v>
      </c>
      <c r="H24" s="15" t="s">
        <v>5414</v>
      </c>
      <c r="I24" s="15" t="s">
        <v>5415</v>
      </c>
      <c r="J24" s="44" t="str">
        <f>HYPERLINK("https://www.centcols.org/util/geo/visuGen.php?code=FR-02-0129","FR-02-0129")</f>
        <v>FR-02-0129</v>
      </c>
      <c r="K24" s="15"/>
      <c r="L24" s="13"/>
      <c r="M24" s="14">
        <v>99</v>
      </c>
      <c r="N24" s="14">
        <v>20</v>
      </c>
      <c r="O24" s="16"/>
      <c r="P24" s="15"/>
      <c r="Q24" s="15" t="s">
        <v>5416</v>
      </c>
      <c r="R24" s="15" t="s">
        <v>5417</v>
      </c>
      <c r="S24" s="59">
        <v>3.324515</v>
      </c>
      <c r="T24" s="59">
        <v>49.554027</v>
      </c>
      <c r="U24" s="17">
        <v>31</v>
      </c>
      <c r="V24" s="3">
        <v>523471</v>
      </c>
      <c r="W24" s="3">
        <v>5489098</v>
      </c>
      <c r="X24" s="59">
        <v>1.0977240003656241</v>
      </c>
      <c r="Y24" s="59">
        <v>55.06010351389814</v>
      </c>
      <c r="Z24" s="18"/>
      <c r="AA24" s="19" t="s">
        <v>5138</v>
      </c>
      <c r="AB24" s="19">
        <v>2018</v>
      </c>
      <c r="AC24" s="12">
        <v>43250</v>
      </c>
      <c r="AD24" s="19"/>
      <c r="AE24" s="23" t="s">
        <v>5418</v>
      </c>
    </row>
    <row r="25" spans="1:31" ht="12.75">
      <c r="A25" s="13" t="s">
        <v>5419</v>
      </c>
      <c r="B25" s="1" t="s">
        <v>5279</v>
      </c>
      <c r="C25" s="1" t="s">
        <v>5420</v>
      </c>
      <c r="D25" s="1" t="s">
        <v>5421</v>
      </c>
      <c r="E25" s="2">
        <v>149</v>
      </c>
      <c r="F25" s="2">
        <v>9</v>
      </c>
      <c r="G25" s="3" t="s">
        <v>5422</v>
      </c>
      <c r="H25" s="3" t="s">
        <v>5423</v>
      </c>
      <c r="I25" s="3" t="s">
        <v>5424</v>
      </c>
      <c r="J25" s="44" t="str">
        <f>HYPERLINK("https://www.centcols.org/util/geo/visuGen.php?code=FR-02-0149","FR-02-0149")</f>
        <v>FR-02-0149</v>
      </c>
      <c r="K25" s="3"/>
      <c r="L25" s="1"/>
      <c r="M25" s="2">
        <v>99</v>
      </c>
      <c r="N25" s="2">
        <v>20</v>
      </c>
      <c r="O25" s="5"/>
      <c r="P25" s="3"/>
      <c r="Q25" s="3" t="s">
        <v>5425</v>
      </c>
      <c r="R25" s="3" t="s">
        <v>5426</v>
      </c>
      <c r="S25" s="59">
        <v>3.289187</v>
      </c>
      <c r="T25" s="59">
        <v>49.425177</v>
      </c>
      <c r="U25" s="22">
        <v>31</v>
      </c>
      <c r="V25" s="3">
        <v>520971</v>
      </c>
      <c r="W25" s="3">
        <v>5474763</v>
      </c>
      <c r="X25" s="25">
        <v>1.058471692907165</v>
      </c>
      <c r="Y25" s="25">
        <v>54.916938846288446</v>
      </c>
      <c r="Z25" s="18"/>
      <c r="AA25" s="19" t="s">
        <v>5138</v>
      </c>
      <c r="AB25" s="19">
        <v>2018</v>
      </c>
      <c r="AC25" s="12">
        <v>43250</v>
      </c>
      <c r="AD25" s="19"/>
      <c r="AE25" s="23" t="s">
        <v>5427</v>
      </c>
    </row>
    <row r="26" spans="1:31" ht="12.75">
      <c r="A26" s="32" t="s">
        <v>5428</v>
      </c>
      <c r="B26" s="20" t="s">
        <v>5262</v>
      </c>
      <c r="C26" s="20" t="s">
        <v>5429</v>
      </c>
      <c r="D26" s="13" t="s">
        <v>5429</v>
      </c>
      <c r="E26" s="14">
        <v>153</v>
      </c>
      <c r="F26" s="14">
        <v>9</v>
      </c>
      <c r="G26" s="15" t="s">
        <v>5430</v>
      </c>
      <c r="H26" s="15" t="s">
        <v>5431</v>
      </c>
      <c r="I26" s="15" t="s">
        <v>5432</v>
      </c>
      <c r="J26" s="44" t="str">
        <f>HYPERLINK("https://www.centcols.org/util/geo/visuGen.php?code=FR-02-0153","FR-02-0153")</f>
        <v>FR-02-0153</v>
      </c>
      <c r="K26" s="15"/>
      <c r="L26" s="13"/>
      <c r="M26" s="14">
        <v>99</v>
      </c>
      <c r="N26" s="14">
        <v>20</v>
      </c>
      <c r="O26" s="16"/>
      <c r="P26" s="15"/>
      <c r="Q26" s="15" t="s">
        <v>5433</v>
      </c>
      <c r="R26" s="15" t="s">
        <v>5434</v>
      </c>
      <c r="S26" s="59">
        <v>3.078931</v>
      </c>
      <c r="T26" s="59">
        <v>49.217039</v>
      </c>
      <c r="U26" s="17">
        <v>31</v>
      </c>
      <c r="V26" s="3">
        <v>505748</v>
      </c>
      <c r="W26" s="3">
        <v>5451586</v>
      </c>
      <c r="X26" s="59">
        <v>0.824861544508332</v>
      </c>
      <c r="Y26" s="59">
        <v>54.68567251117004</v>
      </c>
      <c r="Z26" s="18"/>
      <c r="AA26" s="19" t="s">
        <v>5138</v>
      </c>
      <c r="AB26" s="19">
        <v>2018</v>
      </c>
      <c r="AC26" s="12">
        <v>43250</v>
      </c>
      <c r="AD26" s="19"/>
      <c r="AE26" s="23" t="s">
        <v>5435</v>
      </c>
    </row>
    <row r="27" spans="1:31" ht="12.75">
      <c r="A27" s="32" t="s">
        <v>5436</v>
      </c>
      <c r="B27" s="20" t="s">
        <v>5437</v>
      </c>
      <c r="C27" s="20" t="s">
        <v>5438</v>
      </c>
      <c r="D27" s="13" t="s">
        <v>5439</v>
      </c>
      <c r="E27" s="14">
        <v>168</v>
      </c>
      <c r="F27" s="14">
        <v>5</v>
      </c>
      <c r="G27" s="15" t="s">
        <v>5440</v>
      </c>
      <c r="H27" s="15" t="s">
        <v>5441</v>
      </c>
      <c r="I27" s="15" t="s">
        <v>5442</v>
      </c>
      <c r="J27" s="44" t="str">
        <f>HYPERLINK("https://www.centcols.org/util/geo/visuGen.php?code=FR-02-0168","FR-02-0168")</f>
        <v>FR-02-0168</v>
      </c>
      <c r="K27" s="15" t="s">
        <v>5443</v>
      </c>
      <c r="L27" s="13" t="s">
        <v>5157</v>
      </c>
      <c r="M27" s="14">
        <v>0</v>
      </c>
      <c r="N27" s="14">
        <v>0</v>
      </c>
      <c r="O27" s="16"/>
      <c r="P27" s="15"/>
      <c r="Q27" s="15" t="s">
        <v>5444</v>
      </c>
      <c r="R27" s="15" t="s">
        <v>5445</v>
      </c>
      <c r="S27" s="59">
        <v>4.120743</v>
      </c>
      <c r="T27" s="59">
        <v>49.86945</v>
      </c>
      <c r="U27" s="17">
        <v>31</v>
      </c>
      <c r="V27" s="3">
        <v>580537</v>
      </c>
      <c r="W27" s="3">
        <v>5524718</v>
      </c>
      <c r="X27" s="59">
        <v>1.9823820579591798</v>
      </c>
      <c r="Y27" s="59">
        <v>55.410574237267234</v>
      </c>
      <c r="Z27" s="18"/>
      <c r="AA27" s="19" t="s">
        <v>5138</v>
      </c>
      <c r="AB27" s="19">
        <v>2018</v>
      </c>
      <c r="AC27" s="12">
        <v>43250</v>
      </c>
      <c r="AD27" s="19"/>
      <c r="AE27" s="23" t="s">
        <v>5446</v>
      </c>
    </row>
    <row r="28" spans="1:31" ht="12.75">
      <c r="A28" s="32" t="s">
        <v>5447</v>
      </c>
      <c r="B28" s="20" t="s">
        <v>5448</v>
      </c>
      <c r="C28" s="20" t="s">
        <v>5449</v>
      </c>
      <c r="D28" s="13" t="s">
        <v>5450</v>
      </c>
      <c r="E28" s="14">
        <v>184</v>
      </c>
      <c r="F28" s="14">
        <v>9</v>
      </c>
      <c r="G28" s="15" t="s">
        <v>5451</v>
      </c>
      <c r="H28" s="15" t="s">
        <v>5452</v>
      </c>
      <c r="I28" s="15" t="s">
        <v>5453</v>
      </c>
      <c r="J28" s="44" t="str">
        <f>HYPERLINK("https://www.centcols.org/util/geo/visuGen.php?code=FR-02-0184","FR-02-0184")</f>
        <v>FR-02-0184</v>
      </c>
      <c r="K28" s="15"/>
      <c r="L28" s="13"/>
      <c r="M28" s="14">
        <v>99</v>
      </c>
      <c r="N28" s="14">
        <v>20</v>
      </c>
      <c r="O28" s="16"/>
      <c r="P28" s="15"/>
      <c r="Q28" s="15" t="s">
        <v>5454</v>
      </c>
      <c r="R28" s="15" t="s">
        <v>5455</v>
      </c>
      <c r="S28" s="59">
        <v>3.373119</v>
      </c>
      <c r="T28" s="59">
        <v>49.239728</v>
      </c>
      <c r="U28" s="17">
        <v>31</v>
      </c>
      <c r="V28" s="3">
        <v>527160</v>
      </c>
      <c r="W28" s="3">
        <v>5454173</v>
      </c>
      <c r="X28" s="59">
        <v>1.1517243922475633</v>
      </c>
      <c r="Y28" s="59">
        <v>54.71088436880111</v>
      </c>
      <c r="Z28" s="18"/>
      <c r="AA28" s="19" t="s">
        <v>5138</v>
      </c>
      <c r="AB28" s="19">
        <v>2018</v>
      </c>
      <c r="AC28" s="12">
        <v>43250</v>
      </c>
      <c r="AD28" s="19"/>
      <c r="AE28" s="23" t="s">
        <v>5287</v>
      </c>
    </row>
    <row r="29" spans="1:31" ht="12.75">
      <c r="A29" s="13" t="s">
        <v>5456</v>
      </c>
      <c r="B29" s="1" t="s">
        <v>5457</v>
      </c>
      <c r="C29" s="1" t="s">
        <v>5458</v>
      </c>
      <c r="D29" s="1" t="s">
        <v>5459</v>
      </c>
      <c r="E29" s="2">
        <v>189</v>
      </c>
      <c r="F29" s="2">
        <v>5</v>
      </c>
      <c r="G29" s="3" t="s">
        <v>5460</v>
      </c>
      <c r="H29" s="3" t="s">
        <v>5461</v>
      </c>
      <c r="I29" s="3" t="s">
        <v>5462</v>
      </c>
      <c r="J29" s="44" t="str">
        <f>HYPERLINK("https://www.centcols.org/util/geo/visuGen.php?code=FR-02-0189","FR-02-0189")</f>
        <v>FR-02-0189</v>
      </c>
      <c r="K29" s="3" t="s">
        <v>5463</v>
      </c>
      <c r="L29" s="1" t="s">
        <v>5157</v>
      </c>
      <c r="M29" s="2">
        <v>0</v>
      </c>
      <c r="N29" s="2">
        <v>0</v>
      </c>
      <c r="O29" s="5"/>
      <c r="P29" s="3"/>
      <c r="Q29" s="3" t="s">
        <v>5464</v>
      </c>
      <c r="R29" s="3" t="s">
        <v>5465</v>
      </c>
      <c r="S29" s="59">
        <v>4.139648</v>
      </c>
      <c r="T29" s="59">
        <v>49.920769</v>
      </c>
      <c r="U29" s="22">
        <v>31</v>
      </c>
      <c r="V29" s="3">
        <v>581808</v>
      </c>
      <c r="W29" s="3">
        <v>5530444</v>
      </c>
      <c r="X29" s="25">
        <v>2.0033861716214716</v>
      </c>
      <c r="Y29" s="25">
        <v>55.467595498704284</v>
      </c>
      <c r="Z29" s="18"/>
      <c r="AA29" s="19" t="s">
        <v>5138</v>
      </c>
      <c r="AB29" s="19">
        <v>2018</v>
      </c>
      <c r="AC29" s="12">
        <v>43250</v>
      </c>
      <c r="AD29" s="19"/>
      <c r="AE29" s="23" t="s">
        <v>5466</v>
      </c>
    </row>
    <row r="30" spans="1:31" ht="12.75">
      <c r="A30" s="13" t="s">
        <v>5467</v>
      </c>
      <c r="B30" s="1" t="s">
        <v>5448</v>
      </c>
      <c r="C30" s="1" t="s">
        <v>5468</v>
      </c>
      <c r="D30" s="1" t="s">
        <v>5469</v>
      </c>
      <c r="E30" s="2">
        <v>165</v>
      </c>
      <c r="F30" s="2">
        <v>5</v>
      </c>
      <c r="G30" s="3" t="s">
        <v>5440</v>
      </c>
      <c r="H30" s="3" t="s">
        <v>5470</v>
      </c>
      <c r="I30" s="3" t="s">
        <v>5471</v>
      </c>
      <c r="J30" s="44" t="str">
        <f>HYPERLINK("https://www.centcols.org/util/geo/visuGen.php?code=FR-02-0195","FR-02-0195")</f>
        <v>FR-02-0195</v>
      </c>
      <c r="K30" s="3" t="s">
        <v>5472</v>
      </c>
      <c r="L30" s="1" t="s">
        <v>5157</v>
      </c>
      <c r="M30" s="2">
        <v>0</v>
      </c>
      <c r="N30" s="2">
        <v>0</v>
      </c>
      <c r="O30" s="5"/>
      <c r="P30" s="3"/>
      <c r="Q30" s="3" t="s">
        <v>5473</v>
      </c>
      <c r="R30" s="3" t="s">
        <v>5474</v>
      </c>
      <c r="S30" s="59">
        <v>4.099612</v>
      </c>
      <c r="T30" s="59">
        <v>49.956785</v>
      </c>
      <c r="U30" s="22">
        <v>31</v>
      </c>
      <c r="V30" s="3">
        <v>578876</v>
      </c>
      <c r="W30" s="3">
        <v>5534405</v>
      </c>
      <c r="X30" s="25">
        <v>1.9589042065043656</v>
      </c>
      <c r="Y30" s="25">
        <v>55.50761268300199</v>
      </c>
      <c r="Z30" s="18"/>
      <c r="AA30" s="19" t="s">
        <v>5138</v>
      </c>
      <c r="AB30" s="19">
        <v>2018</v>
      </c>
      <c r="AC30" s="12">
        <v>43250</v>
      </c>
      <c r="AD30" s="19"/>
      <c r="AE30" s="23" t="s">
        <v>5475</v>
      </c>
    </row>
    <row r="31" spans="1:31" ht="12.75">
      <c r="A31" s="104" t="s">
        <v>5476</v>
      </c>
      <c r="B31" s="1" t="s">
        <v>5477</v>
      </c>
      <c r="C31" s="1" t="s">
        <v>5478</v>
      </c>
      <c r="D31" s="1" t="s">
        <v>5479</v>
      </c>
      <c r="E31" s="2">
        <v>218</v>
      </c>
      <c r="F31" s="2">
        <v>5</v>
      </c>
      <c r="G31" s="3" t="s">
        <v>5460</v>
      </c>
      <c r="H31" s="3" t="s">
        <v>5480</v>
      </c>
      <c r="I31" s="3" t="s">
        <v>5481</v>
      </c>
      <c r="J31" s="44" t="str">
        <f>HYPERLINK("https://www.centcols.org/util/geo/visuGen.php?code=FR-02-0218","FR-02-0218")</f>
        <v>FR-02-0218</v>
      </c>
      <c r="K31" s="3"/>
      <c r="L31" s="1"/>
      <c r="M31" s="2">
        <v>99</v>
      </c>
      <c r="N31" s="2">
        <v>20</v>
      </c>
      <c r="O31" s="5"/>
      <c r="P31" s="3" t="s">
        <v>5482</v>
      </c>
      <c r="Q31" s="3" t="s">
        <v>5483</v>
      </c>
      <c r="R31" s="3" t="s">
        <v>5484</v>
      </c>
      <c r="S31" s="59">
        <v>4.155549</v>
      </c>
      <c r="T31" s="59">
        <v>49.975429</v>
      </c>
      <c r="U31" s="22">
        <v>31</v>
      </c>
      <c r="V31" s="3">
        <v>582856</v>
      </c>
      <c r="W31" s="3">
        <v>5536539</v>
      </c>
      <c r="X31" s="25">
        <v>2.02105215161792</v>
      </c>
      <c r="Y31" s="25">
        <v>55.52832799797904</v>
      </c>
      <c r="Z31" s="18"/>
      <c r="AA31" s="19" t="s">
        <v>5138</v>
      </c>
      <c r="AB31" s="19">
        <v>2018</v>
      </c>
      <c r="AC31" s="12">
        <v>43250</v>
      </c>
      <c r="AD31" s="19"/>
      <c r="AE31" s="23" t="s">
        <v>5532</v>
      </c>
    </row>
    <row r="32" spans="1:31" ht="12.75">
      <c r="A32" s="4" t="s">
        <v>5533</v>
      </c>
      <c r="B32" s="1" t="s">
        <v>5534</v>
      </c>
      <c r="C32" s="1" t="s">
        <v>5535</v>
      </c>
      <c r="D32" s="1" t="s">
        <v>5536</v>
      </c>
      <c r="E32" s="2">
        <v>489</v>
      </c>
      <c r="F32" s="2">
        <v>67</v>
      </c>
      <c r="G32" s="3" t="s">
        <v>5537</v>
      </c>
      <c r="H32" s="3" t="s">
        <v>5538</v>
      </c>
      <c r="I32" s="3" t="s">
        <v>5539</v>
      </c>
      <c r="J32" s="44" t="str">
        <f>HYPERLINK("https://www.centcols.org/util/geo/visuGen.php?code=FR-04-0489","FR-04-0489")</f>
        <v>FR-04-0489</v>
      </c>
      <c r="K32" s="3" t="s">
        <v>5540</v>
      </c>
      <c r="L32" s="1" t="s">
        <v>5541</v>
      </c>
      <c r="M32" s="8">
        <v>0</v>
      </c>
      <c r="N32" s="8">
        <v>0</v>
      </c>
      <c r="O32" s="4"/>
      <c r="P32" s="3"/>
      <c r="Q32" s="3" t="s">
        <v>5542</v>
      </c>
      <c r="R32" s="3" t="s">
        <v>5543</v>
      </c>
      <c r="S32" s="25">
        <v>5.679961555706163</v>
      </c>
      <c r="T32" s="25">
        <v>43.86423225330521</v>
      </c>
      <c r="U32" s="2">
        <v>31</v>
      </c>
      <c r="V32" s="3">
        <v>715356</v>
      </c>
      <c r="W32" s="3">
        <v>4860285</v>
      </c>
      <c r="X32" s="25">
        <v>3.7147408104453756</v>
      </c>
      <c r="Y32" s="25">
        <v>48.73801973959113</v>
      </c>
      <c r="Z32" s="6"/>
      <c r="AA32" s="7" t="s">
        <v>5138</v>
      </c>
      <c r="AB32" s="8">
        <v>2005</v>
      </c>
      <c r="AC32" s="9"/>
      <c r="AD32" s="10">
        <v>1</v>
      </c>
      <c r="AE32" s="31" t="s">
        <v>5544</v>
      </c>
    </row>
    <row r="33" spans="1:31" ht="12.75">
      <c r="A33" s="4" t="s">
        <v>5545</v>
      </c>
      <c r="B33" s="1" t="s">
        <v>5262</v>
      </c>
      <c r="C33" s="1" t="s">
        <v>5546</v>
      </c>
      <c r="D33" s="1" t="s">
        <v>5546</v>
      </c>
      <c r="E33" s="2">
        <v>534</v>
      </c>
      <c r="F33" s="2">
        <v>67</v>
      </c>
      <c r="G33" s="3" t="s">
        <v>5547</v>
      </c>
      <c r="H33" s="3" t="s">
        <v>5548</v>
      </c>
      <c r="I33" s="3" t="s">
        <v>5549</v>
      </c>
      <c r="J33" s="44" t="str">
        <f>HYPERLINK("https://www.centcols.org/util/geo/visuGen.php?code=FR-04-0534","FR-04-0534")</f>
        <v>FR-04-0534</v>
      </c>
      <c r="K33" s="3"/>
      <c r="L33" s="1" t="s">
        <v>5257</v>
      </c>
      <c r="M33" s="8">
        <v>1</v>
      </c>
      <c r="N33" s="8">
        <v>10</v>
      </c>
      <c r="O33" s="4"/>
      <c r="P33" s="3"/>
      <c r="Q33" s="3" t="s">
        <v>5550</v>
      </c>
      <c r="R33" s="3" t="s">
        <v>5551</v>
      </c>
      <c r="S33" s="25">
        <v>5.857668736771757</v>
      </c>
      <c r="T33" s="25">
        <v>43.90371536769192</v>
      </c>
      <c r="U33" s="2">
        <v>31</v>
      </c>
      <c r="V33" s="3">
        <v>729485</v>
      </c>
      <c r="W33" s="3">
        <v>4865149</v>
      </c>
      <c r="X33" s="25">
        <v>3.9121871874914578</v>
      </c>
      <c r="Y33" s="25">
        <v>48.78189022593508</v>
      </c>
      <c r="Z33" s="6"/>
      <c r="AA33" s="7" t="s">
        <v>5138</v>
      </c>
      <c r="AB33" s="8">
        <v>2014</v>
      </c>
      <c r="AC33" s="9">
        <v>41769</v>
      </c>
      <c r="AD33" s="10"/>
      <c r="AE33" s="31" t="s">
        <v>5552</v>
      </c>
    </row>
    <row r="34" spans="1:31" ht="12.75">
      <c r="A34" s="4" t="s">
        <v>5553</v>
      </c>
      <c r="B34" s="1" t="s">
        <v>5128</v>
      </c>
      <c r="C34" s="1" t="s">
        <v>5554</v>
      </c>
      <c r="D34" s="1" t="s">
        <v>5555</v>
      </c>
      <c r="E34" s="2">
        <v>600</v>
      </c>
      <c r="F34" s="2">
        <v>60</v>
      </c>
      <c r="G34" s="3" t="s">
        <v>5556</v>
      </c>
      <c r="H34" s="3" t="s">
        <v>5557</v>
      </c>
      <c r="I34" s="3" t="s">
        <v>5558</v>
      </c>
      <c r="J34" s="44" t="str">
        <f>HYPERLINK("https://www.centcols.org/util/geo/visuGen.php?code=FR-04-0600","FR-04-0600")</f>
        <v>FR-04-0600</v>
      </c>
      <c r="K34" s="3"/>
      <c r="L34" s="1" t="s">
        <v>5176</v>
      </c>
      <c r="M34" s="8">
        <v>99</v>
      </c>
      <c r="N34" s="8">
        <v>15</v>
      </c>
      <c r="O34" s="4"/>
      <c r="P34" s="3"/>
      <c r="Q34" s="3" t="s">
        <v>5559</v>
      </c>
      <c r="R34" s="3" t="s">
        <v>5560</v>
      </c>
      <c r="S34" s="25">
        <v>5.98147910036501</v>
      </c>
      <c r="T34" s="25">
        <v>44.40459446089093</v>
      </c>
      <c r="U34" s="2">
        <v>31</v>
      </c>
      <c r="V34" s="3">
        <v>737409</v>
      </c>
      <c r="W34" s="3">
        <v>4921136</v>
      </c>
      <c r="X34" s="25">
        <v>4.049757855592195</v>
      </c>
      <c r="Y34" s="25">
        <v>49.33843541954269</v>
      </c>
      <c r="Z34" s="6"/>
      <c r="AA34" s="7" t="s">
        <v>5138</v>
      </c>
      <c r="AB34" s="8">
        <v>2007</v>
      </c>
      <c r="AC34" s="9"/>
      <c r="AD34" s="10">
        <v>1</v>
      </c>
      <c r="AE34" s="31" t="s">
        <v>5561</v>
      </c>
    </row>
    <row r="35" spans="1:31" ht="12.75">
      <c r="A35" s="4" t="s">
        <v>5562</v>
      </c>
      <c r="B35" s="1" t="s">
        <v>5563</v>
      </c>
      <c r="C35" s="1" t="s">
        <v>5564</v>
      </c>
      <c r="D35" s="1" t="s">
        <v>5565</v>
      </c>
      <c r="E35" s="2">
        <v>610</v>
      </c>
      <c r="F35" s="2">
        <v>60</v>
      </c>
      <c r="G35" s="3" t="s">
        <v>5566</v>
      </c>
      <c r="H35" s="3" t="s">
        <v>5567</v>
      </c>
      <c r="I35" s="3" t="s">
        <v>5568</v>
      </c>
      <c r="J35" s="44" t="str">
        <f>HYPERLINK("https://www.centcols.org/util/geo/visuGen.php?code=FR-04-0610","FR-04-0610")</f>
        <v>FR-04-0610</v>
      </c>
      <c r="K35" s="3"/>
      <c r="L35" s="1" t="s">
        <v>5138</v>
      </c>
      <c r="M35" s="8">
        <v>35</v>
      </c>
      <c r="N35" s="8">
        <v>10</v>
      </c>
      <c r="O35" s="4"/>
      <c r="P35" s="3"/>
      <c r="Q35" s="3" t="s">
        <v>5569</v>
      </c>
      <c r="R35" s="3" t="s">
        <v>5570</v>
      </c>
      <c r="S35" s="25">
        <v>5.8364933137358435</v>
      </c>
      <c r="T35" s="25">
        <v>44.154173419855134</v>
      </c>
      <c r="U35" s="2">
        <v>31</v>
      </c>
      <c r="V35" s="3">
        <v>726826</v>
      </c>
      <c r="W35" s="3">
        <v>4892910</v>
      </c>
      <c r="X35" s="25">
        <v>3.888664121299212</v>
      </c>
      <c r="Y35" s="25">
        <v>49.060183249045835</v>
      </c>
      <c r="Z35" s="6"/>
      <c r="AA35" s="7" t="s">
        <v>5138</v>
      </c>
      <c r="AB35" s="8" t="s">
        <v>5571</v>
      </c>
      <c r="AC35" s="9">
        <v>41300</v>
      </c>
      <c r="AD35" s="10">
        <v>15</v>
      </c>
      <c r="AE35" s="31" t="s">
        <v>5572</v>
      </c>
    </row>
    <row r="36" spans="1:31" ht="12.75">
      <c r="A36" s="4" t="s">
        <v>5573</v>
      </c>
      <c r="B36" s="1" t="s">
        <v>5574</v>
      </c>
      <c r="C36" s="1" t="s">
        <v>5575</v>
      </c>
      <c r="D36" s="1" t="s">
        <v>5576</v>
      </c>
      <c r="E36" s="2">
        <v>660</v>
      </c>
      <c r="F36" s="2">
        <v>60</v>
      </c>
      <c r="G36" s="3" t="s">
        <v>5566</v>
      </c>
      <c r="H36" s="3" t="s">
        <v>5577</v>
      </c>
      <c r="I36" s="3" t="s">
        <v>5578</v>
      </c>
      <c r="J36" s="44" t="str">
        <f>HYPERLINK("https://www.centcols.org/util/geo/visuGen.php?code=FR-04-0660","FR-04-0660")</f>
        <v>FR-04-0660</v>
      </c>
      <c r="K36" s="3"/>
      <c r="L36" s="1" t="s">
        <v>5176</v>
      </c>
      <c r="M36" s="8">
        <v>99</v>
      </c>
      <c r="N36" s="8">
        <v>15</v>
      </c>
      <c r="O36" s="4"/>
      <c r="P36" s="3"/>
      <c r="Q36" s="3" t="s">
        <v>5579</v>
      </c>
      <c r="R36" s="3" t="s">
        <v>5580</v>
      </c>
      <c r="S36" s="25">
        <v>5.882897273701785</v>
      </c>
      <c r="T36" s="25">
        <v>44.1930126716017</v>
      </c>
      <c r="U36" s="2">
        <v>31</v>
      </c>
      <c r="V36" s="3">
        <v>730386</v>
      </c>
      <c r="W36" s="3">
        <v>4897353</v>
      </c>
      <c r="X36" s="25">
        <v>3.940222785365297</v>
      </c>
      <c r="Y36" s="25">
        <v>49.10333872824079</v>
      </c>
      <c r="Z36" s="6"/>
      <c r="AA36" s="7" t="s">
        <v>5138</v>
      </c>
      <c r="AB36" s="8" t="s">
        <v>5571</v>
      </c>
      <c r="AC36" s="9">
        <v>41300</v>
      </c>
      <c r="AD36" s="10">
        <v>15</v>
      </c>
      <c r="AE36" s="31" t="s">
        <v>5572</v>
      </c>
    </row>
    <row r="37" spans="1:31" ht="12.75">
      <c r="A37" s="4" t="s">
        <v>5581</v>
      </c>
      <c r="B37" s="1" t="s">
        <v>5574</v>
      </c>
      <c r="C37" s="1" t="s">
        <v>5582</v>
      </c>
      <c r="D37" s="1" t="s">
        <v>5583</v>
      </c>
      <c r="E37" s="2">
        <v>682</v>
      </c>
      <c r="F37" s="2">
        <v>60</v>
      </c>
      <c r="G37" s="3" t="s">
        <v>5566</v>
      </c>
      <c r="H37" s="3" t="s">
        <v>5584</v>
      </c>
      <c r="I37" s="3" t="s">
        <v>5585</v>
      </c>
      <c r="J37" s="44" t="str">
        <f>HYPERLINK("https://www.centcols.org/util/geo/visuGen.php?code=FR-04-0682","FR-04-0682")</f>
        <v>FR-04-0682</v>
      </c>
      <c r="K37" s="3"/>
      <c r="L37" s="1" t="s">
        <v>5176</v>
      </c>
      <c r="M37" s="8">
        <v>99</v>
      </c>
      <c r="N37" s="8">
        <v>15</v>
      </c>
      <c r="O37" s="4"/>
      <c r="P37" s="3"/>
      <c r="Q37" s="3" t="s">
        <v>5586</v>
      </c>
      <c r="R37" s="3" t="s">
        <v>5587</v>
      </c>
      <c r="S37" s="25">
        <v>5.869679347678188</v>
      </c>
      <c r="T37" s="25">
        <v>44.19247419214699</v>
      </c>
      <c r="U37" s="2">
        <v>31</v>
      </c>
      <c r="V37" s="3">
        <v>729332</v>
      </c>
      <c r="W37" s="3">
        <v>4897256</v>
      </c>
      <c r="X37" s="25">
        <v>3.9255368023060755</v>
      </c>
      <c r="Y37" s="25">
        <v>49.10274044767864</v>
      </c>
      <c r="Z37" s="6"/>
      <c r="AA37" s="7" t="s">
        <v>5138</v>
      </c>
      <c r="AB37" s="8" t="s">
        <v>5571</v>
      </c>
      <c r="AC37" s="9">
        <v>41300</v>
      </c>
      <c r="AD37" s="10">
        <v>15</v>
      </c>
      <c r="AE37" s="31" t="s">
        <v>5572</v>
      </c>
    </row>
    <row r="38" spans="1:31" ht="12.75">
      <c r="A38" s="4" t="s">
        <v>5588</v>
      </c>
      <c r="B38" s="1" t="s">
        <v>5589</v>
      </c>
      <c r="C38" s="1" t="s">
        <v>5590</v>
      </c>
      <c r="D38" s="1" t="s">
        <v>5591</v>
      </c>
      <c r="E38" s="2">
        <v>799</v>
      </c>
      <c r="F38" s="2">
        <v>60</v>
      </c>
      <c r="G38" s="3" t="s">
        <v>5592</v>
      </c>
      <c r="H38" s="3" t="s">
        <v>5593</v>
      </c>
      <c r="I38" s="3" t="s">
        <v>5594</v>
      </c>
      <c r="J38" s="44" t="str">
        <f>HYPERLINK("https://www.centcols.org/util/geo/visuGen.php?code=FR-04-0799","FR-04-0799")</f>
        <v>FR-04-0799</v>
      </c>
      <c r="K38" s="3" t="s">
        <v>5595</v>
      </c>
      <c r="L38" s="1" t="s">
        <v>5596</v>
      </c>
      <c r="M38" s="8">
        <v>0</v>
      </c>
      <c r="N38" s="8">
        <v>0</v>
      </c>
      <c r="O38" s="4"/>
      <c r="P38" s="3"/>
      <c r="Q38" s="3" t="s">
        <v>5597</v>
      </c>
      <c r="R38" s="3" t="s">
        <v>5598</v>
      </c>
      <c r="S38" s="25">
        <v>6.268811</v>
      </c>
      <c r="T38" s="25">
        <v>44.463925</v>
      </c>
      <c r="U38" s="2">
        <v>32</v>
      </c>
      <c r="V38" s="3">
        <v>282741</v>
      </c>
      <c r="W38" s="3">
        <v>4927031</v>
      </c>
      <c r="X38" s="25">
        <v>4.369005</v>
      </c>
      <c r="Y38" s="25">
        <v>49.404358</v>
      </c>
      <c r="Z38" s="6"/>
      <c r="AA38" s="7" t="s">
        <v>5138</v>
      </c>
      <c r="AB38" s="8">
        <v>2016</v>
      </c>
      <c r="AC38" s="9">
        <v>42593</v>
      </c>
      <c r="AD38" s="10"/>
      <c r="AE38" s="31" t="s">
        <v>5599</v>
      </c>
    </row>
    <row r="39" spans="1:31" ht="12.75">
      <c r="A39" s="4" t="s">
        <v>5600</v>
      </c>
      <c r="B39" s="1" t="s">
        <v>5128</v>
      </c>
      <c r="C39" s="1" t="s">
        <v>5601</v>
      </c>
      <c r="D39" s="1" t="s">
        <v>5602</v>
      </c>
      <c r="E39" s="2">
        <v>811</v>
      </c>
      <c r="F39" s="2">
        <v>60</v>
      </c>
      <c r="G39" s="3" t="s">
        <v>5603</v>
      </c>
      <c r="H39" s="3" t="s">
        <v>5604</v>
      </c>
      <c r="I39" s="3" t="s">
        <v>5605</v>
      </c>
      <c r="J39" s="44" t="str">
        <f>HYPERLINK("https://www.centcols.org/util/geo/visuGen.php?code=FR-04-0811","FR-04-0811")</f>
        <v>FR-04-0811</v>
      </c>
      <c r="K39" s="3" t="s">
        <v>5606</v>
      </c>
      <c r="L39" s="1" t="s">
        <v>5607</v>
      </c>
      <c r="M39" s="8">
        <v>0</v>
      </c>
      <c r="N39" s="8">
        <v>0</v>
      </c>
      <c r="O39" s="4"/>
      <c r="P39" s="3"/>
      <c r="Q39" s="3" t="s">
        <v>5608</v>
      </c>
      <c r="R39" s="3" t="s">
        <v>5609</v>
      </c>
      <c r="S39" s="25">
        <v>6.047707701567922</v>
      </c>
      <c r="T39" s="25">
        <v>44.00781030969773</v>
      </c>
      <c r="U39" s="2">
        <v>32</v>
      </c>
      <c r="V39" s="3">
        <v>263330</v>
      </c>
      <c r="W39" s="3">
        <v>4876978</v>
      </c>
      <c r="X39" s="25">
        <v>4.123336332537142</v>
      </c>
      <c r="Y39" s="25">
        <v>48.89755307235602</v>
      </c>
      <c r="Z39" s="6"/>
      <c r="AA39" s="7" t="s">
        <v>5138</v>
      </c>
      <c r="AB39" s="8" t="s">
        <v>5571</v>
      </c>
      <c r="AC39" s="9">
        <v>41250</v>
      </c>
      <c r="AD39" s="10">
        <v>5</v>
      </c>
      <c r="AE39" s="31" t="s">
        <v>5610</v>
      </c>
    </row>
    <row r="40" spans="1:31" ht="12.75">
      <c r="A40" s="4" t="s">
        <v>5611</v>
      </c>
      <c r="B40" s="1" t="s">
        <v>5612</v>
      </c>
      <c r="C40" s="1" t="s">
        <v>5613</v>
      </c>
      <c r="D40" s="1" t="s">
        <v>5614</v>
      </c>
      <c r="E40" s="2">
        <v>918</v>
      </c>
      <c r="F40" s="2">
        <v>61</v>
      </c>
      <c r="G40" s="3" t="s">
        <v>5615</v>
      </c>
      <c r="H40" s="3" t="s">
        <v>5616</v>
      </c>
      <c r="I40" s="3" t="s">
        <v>5617</v>
      </c>
      <c r="J40" s="44" t="str">
        <f>HYPERLINK("https://www.centcols.org/util/geo/visuGen.php?code=FR-04-0918","FR-04-0918")</f>
        <v>FR-04-0918</v>
      </c>
      <c r="K40" s="3"/>
      <c r="L40" s="1" t="s">
        <v>5138</v>
      </c>
      <c r="M40" s="8">
        <v>35</v>
      </c>
      <c r="N40" s="8">
        <v>10</v>
      </c>
      <c r="O40" s="4"/>
      <c r="P40" s="3"/>
      <c r="Q40" s="3" t="s">
        <v>5618</v>
      </c>
      <c r="R40" s="3" t="s">
        <v>5619</v>
      </c>
      <c r="S40" s="25">
        <v>6.36506</v>
      </c>
      <c r="T40" s="25">
        <v>44.022167</v>
      </c>
      <c r="U40" s="2">
        <v>32</v>
      </c>
      <c r="V40" s="3">
        <v>288822</v>
      </c>
      <c r="W40" s="3">
        <v>4877711</v>
      </c>
      <c r="X40" s="25">
        <v>4.475939</v>
      </c>
      <c r="Y40" s="25">
        <v>48.913503</v>
      </c>
      <c r="Z40" s="6"/>
      <c r="AA40" s="7" t="s">
        <v>5138</v>
      </c>
      <c r="AB40" s="8">
        <v>2016</v>
      </c>
      <c r="AC40" s="9"/>
      <c r="AD40" s="10"/>
      <c r="AE40" s="31" t="s">
        <v>5620</v>
      </c>
    </row>
    <row r="41" spans="1:31" ht="12.75">
      <c r="A41" s="18" t="s">
        <v>5621</v>
      </c>
      <c r="B41" s="20" t="s">
        <v>5534</v>
      </c>
      <c r="C41" s="20" t="s">
        <v>5622</v>
      </c>
      <c r="D41" s="20" t="s">
        <v>5623</v>
      </c>
      <c r="E41" s="19">
        <v>957</v>
      </c>
      <c r="F41" s="14">
        <v>60</v>
      </c>
      <c r="G41" s="19" t="s">
        <v>5624</v>
      </c>
      <c r="H41" s="19" t="s">
        <v>5625</v>
      </c>
      <c r="I41" s="19" t="s">
        <v>5626</v>
      </c>
      <c r="J41" s="44" t="str">
        <f>HYPERLINK("https://www.centcols.org/util/geo/visuGen.php?code=FR-04-0950","FR-04-0950")</f>
        <v>FR-04-0950</v>
      </c>
      <c r="K41" s="19"/>
      <c r="L41" s="20" t="s">
        <v>5627</v>
      </c>
      <c r="M41" s="19">
        <v>1</v>
      </c>
      <c r="N41" s="19">
        <v>10</v>
      </c>
      <c r="O41" s="18"/>
      <c r="P41" s="19"/>
      <c r="Q41" s="19" t="s">
        <v>5628</v>
      </c>
      <c r="R41" s="19" t="s">
        <v>5629</v>
      </c>
      <c r="S41" s="59">
        <v>6.239183</v>
      </c>
      <c r="T41" s="59">
        <v>43.999806</v>
      </c>
      <c r="U41" s="19">
        <v>32</v>
      </c>
      <c r="V41" s="3">
        <v>278650</v>
      </c>
      <c r="W41" s="3">
        <v>4875557</v>
      </c>
      <c r="X41" s="59">
        <v>4.33608</v>
      </c>
      <c r="Y41" s="59">
        <v>48.888658</v>
      </c>
      <c r="Z41" s="18" t="s">
        <v>5630</v>
      </c>
      <c r="AA41" s="11" t="s">
        <v>5176</v>
      </c>
      <c r="AB41" s="11">
        <v>2018</v>
      </c>
      <c r="AC41" s="12">
        <v>43250</v>
      </c>
      <c r="AD41" s="11"/>
      <c r="AE41" s="23" t="s">
        <v>5631</v>
      </c>
    </row>
    <row r="42" spans="1:31" ht="12.75">
      <c r="A42" s="4" t="s">
        <v>5632</v>
      </c>
      <c r="B42" s="1" t="s">
        <v>5262</v>
      </c>
      <c r="C42" s="1" t="s">
        <v>5633</v>
      </c>
      <c r="D42" s="1" t="s">
        <v>5633</v>
      </c>
      <c r="E42" s="2">
        <v>953</v>
      </c>
      <c r="F42" s="2">
        <v>60</v>
      </c>
      <c r="G42" s="3" t="s">
        <v>5624</v>
      </c>
      <c r="H42" s="3" t="s">
        <v>5634</v>
      </c>
      <c r="I42" s="3" t="s">
        <v>5635</v>
      </c>
      <c r="J42" s="44" t="str">
        <f>HYPERLINK("https://www.centcols.org/util/geo/visuGen.php?code=FR-04-0953","FR-04-0953")</f>
        <v>FR-04-0953</v>
      </c>
      <c r="K42" s="3"/>
      <c r="L42" s="1"/>
      <c r="M42" s="8">
        <v>99</v>
      </c>
      <c r="N42" s="8">
        <v>20</v>
      </c>
      <c r="O42" s="4"/>
      <c r="P42" s="3"/>
      <c r="Q42" s="3" t="s">
        <v>5636</v>
      </c>
      <c r="R42" s="3" t="s">
        <v>5637</v>
      </c>
      <c r="S42" s="25">
        <v>6.277508303327912</v>
      </c>
      <c r="T42" s="25">
        <v>44.03507592292288</v>
      </c>
      <c r="U42" s="2">
        <v>32</v>
      </c>
      <c r="V42" s="3">
        <v>281852</v>
      </c>
      <c r="W42" s="3">
        <v>4879373</v>
      </c>
      <c r="X42" s="25">
        <v>4.378662410140729</v>
      </c>
      <c r="Y42" s="25">
        <v>48.927847056913706</v>
      </c>
      <c r="Z42" s="6"/>
      <c r="AA42" s="7" t="s">
        <v>5138</v>
      </c>
      <c r="AB42" s="8">
        <v>2014</v>
      </c>
      <c r="AC42" s="9">
        <v>41769</v>
      </c>
      <c r="AD42" s="10"/>
      <c r="AE42" s="31" t="s">
        <v>5638</v>
      </c>
    </row>
    <row r="43" spans="1:31" ht="12.75">
      <c r="A43" s="4" t="s">
        <v>5639</v>
      </c>
      <c r="B43" s="1" t="s">
        <v>5640</v>
      </c>
      <c r="C43" s="1" t="s">
        <v>5641</v>
      </c>
      <c r="D43" s="1" t="s">
        <v>5642</v>
      </c>
      <c r="E43" s="2">
        <v>977</v>
      </c>
      <c r="F43" s="2">
        <v>60</v>
      </c>
      <c r="G43" s="3" t="s">
        <v>5624</v>
      </c>
      <c r="H43" s="3" t="s">
        <v>5643</v>
      </c>
      <c r="I43" s="3" t="s">
        <v>5644</v>
      </c>
      <c r="J43" s="44" t="str">
        <f>HYPERLINK("https://www.centcols.org/util/geo/visuGen.php?code=FR-04-0977","FR-04-0977")</f>
        <v>FR-04-0977</v>
      </c>
      <c r="K43" s="3"/>
      <c r="L43" s="1"/>
      <c r="M43" s="8">
        <v>99</v>
      </c>
      <c r="N43" s="8">
        <v>20</v>
      </c>
      <c r="O43" s="4"/>
      <c r="P43" s="3"/>
      <c r="Q43" s="3" t="s">
        <v>5645</v>
      </c>
      <c r="R43" s="3" t="s">
        <v>5646</v>
      </c>
      <c r="S43" s="25">
        <v>6.280428933357418</v>
      </c>
      <c r="T43" s="25">
        <v>44.03102163599964</v>
      </c>
      <c r="U43" s="2">
        <v>32</v>
      </c>
      <c r="V43" s="3">
        <v>282072</v>
      </c>
      <c r="W43" s="3">
        <v>4878915</v>
      </c>
      <c r="X43" s="25">
        <v>4.381907380831567</v>
      </c>
      <c r="Y43" s="25">
        <v>48.92334218439844</v>
      </c>
      <c r="Z43" s="6"/>
      <c r="AA43" s="7" t="s">
        <v>5138</v>
      </c>
      <c r="AB43" s="8">
        <v>2014</v>
      </c>
      <c r="AC43" s="9">
        <v>41769</v>
      </c>
      <c r="AD43" s="10"/>
      <c r="AE43" s="31" t="s">
        <v>5647</v>
      </c>
    </row>
    <row r="44" spans="1:31" ht="12.75">
      <c r="A44" s="4" t="s">
        <v>5648</v>
      </c>
      <c r="B44" s="1" t="s">
        <v>5612</v>
      </c>
      <c r="C44" s="1" t="s">
        <v>5613</v>
      </c>
      <c r="D44" s="1" t="s">
        <v>5614</v>
      </c>
      <c r="E44" s="2">
        <v>1075</v>
      </c>
      <c r="F44" s="2">
        <v>61</v>
      </c>
      <c r="G44" s="3" t="s">
        <v>5649</v>
      </c>
      <c r="H44" s="3" t="s">
        <v>5650</v>
      </c>
      <c r="I44" s="3" t="s">
        <v>5651</v>
      </c>
      <c r="J44" s="44" t="str">
        <f>HYPERLINK("https://www.centcols.org/util/geo/visuGen.php?code=FR-04-1075a","FR-04-1075a")</f>
        <v>FR-04-1075a</v>
      </c>
      <c r="K44" s="3"/>
      <c r="L44" s="1"/>
      <c r="M44" s="8">
        <v>99</v>
      </c>
      <c r="N44" s="8">
        <v>20</v>
      </c>
      <c r="O44" s="4"/>
      <c r="P44" s="3"/>
      <c r="Q44" s="3" t="s">
        <v>5652</v>
      </c>
      <c r="R44" s="3" t="s">
        <v>5653</v>
      </c>
      <c r="S44" s="25">
        <v>6.664465</v>
      </c>
      <c r="T44" s="25">
        <v>43.988045</v>
      </c>
      <c r="U44" s="2">
        <v>32</v>
      </c>
      <c r="V44" s="3">
        <v>312711</v>
      </c>
      <c r="W44" s="3">
        <v>4873197</v>
      </c>
      <c r="X44" s="25">
        <v>4.808599</v>
      </c>
      <c r="Y44" s="25">
        <v>48.875589</v>
      </c>
      <c r="Z44" s="6"/>
      <c r="AA44" s="7" t="s">
        <v>5138</v>
      </c>
      <c r="AB44" s="8">
        <v>2015</v>
      </c>
      <c r="AC44" s="9">
        <v>42297</v>
      </c>
      <c r="AD44" s="10"/>
      <c r="AE44" s="31" t="s">
        <v>5654</v>
      </c>
    </row>
    <row r="45" spans="1:31" ht="12.75">
      <c r="A45" s="4" t="s">
        <v>5655</v>
      </c>
      <c r="B45" s="1" t="s">
        <v>5656</v>
      </c>
      <c r="C45" s="1" t="s">
        <v>5657</v>
      </c>
      <c r="D45" s="1" t="s">
        <v>5658</v>
      </c>
      <c r="E45" s="2">
        <v>1080</v>
      </c>
      <c r="F45" s="2">
        <v>60</v>
      </c>
      <c r="G45" s="3" t="s">
        <v>5566</v>
      </c>
      <c r="H45" s="3" t="s">
        <v>5659</v>
      </c>
      <c r="I45" s="3" t="s">
        <v>5660</v>
      </c>
      <c r="J45" s="44" t="str">
        <f>HYPERLINK("https://www.centcols.org/util/geo/visuGen.php?code=FR-04-1080","FR-04-1080")</f>
        <v>FR-04-1080</v>
      </c>
      <c r="K45" s="3"/>
      <c r="L45" s="1" t="s">
        <v>5661</v>
      </c>
      <c r="M45" s="8">
        <v>2</v>
      </c>
      <c r="N45" s="8">
        <v>15</v>
      </c>
      <c r="O45" s="4"/>
      <c r="P45" s="3"/>
      <c r="Q45" s="3" t="s">
        <v>5662</v>
      </c>
      <c r="R45" s="3" t="s">
        <v>5663</v>
      </c>
      <c r="S45" s="25">
        <v>5.836747</v>
      </c>
      <c r="T45" s="25">
        <v>44.138148</v>
      </c>
      <c r="U45" s="2">
        <v>31</v>
      </c>
      <c r="V45" s="3">
        <v>726908</v>
      </c>
      <c r="W45" s="3">
        <v>4891130</v>
      </c>
      <c r="X45" s="25">
        <v>3.888946</v>
      </c>
      <c r="Y45" s="25">
        <v>49.042377</v>
      </c>
      <c r="Z45" s="6" t="s">
        <v>5664</v>
      </c>
      <c r="AA45" s="7" t="s">
        <v>5176</v>
      </c>
      <c r="AB45" s="8">
        <v>2016</v>
      </c>
      <c r="AC45" s="9"/>
      <c r="AD45" s="10"/>
      <c r="AE45" s="31" t="s">
        <v>5665</v>
      </c>
    </row>
    <row r="46" spans="1:31" ht="12.75">
      <c r="A46" s="4" t="s">
        <v>5666</v>
      </c>
      <c r="B46" s="1" t="s">
        <v>5667</v>
      </c>
      <c r="C46" s="1" t="s">
        <v>5668</v>
      </c>
      <c r="D46" s="1" t="s">
        <v>5669</v>
      </c>
      <c r="E46" s="2">
        <v>1095</v>
      </c>
      <c r="F46" s="2">
        <v>61</v>
      </c>
      <c r="G46" s="3" t="s">
        <v>5670</v>
      </c>
      <c r="H46" s="3" t="s">
        <v>5671</v>
      </c>
      <c r="I46" s="3" t="s">
        <v>5672</v>
      </c>
      <c r="J46" s="44" t="str">
        <f>HYPERLINK("https://www.centcols.org/util/geo/visuGen.php?code=FR-04-1095a","FR-04-1095a")</f>
        <v>FR-04-1095a</v>
      </c>
      <c r="K46" s="3"/>
      <c r="L46" s="1"/>
      <c r="M46" s="8">
        <v>99</v>
      </c>
      <c r="N46" s="8">
        <v>20</v>
      </c>
      <c r="O46" s="4"/>
      <c r="P46" s="3"/>
      <c r="Q46" s="3" t="s">
        <v>5673</v>
      </c>
      <c r="R46" s="3" t="s">
        <v>5674</v>
      </c>
      <c r="S46" s="25">
        <v>6.403401</v>
      </c>
      <c r="T46" s="25">
        <v>44.163223</v>
      </c>
      <c r="U46" s="2">
        <v>32</v>
      </c>
      <c r="V46" s="3">
        <v>292389</v>
      </c>
      <c r="W46" s="3">
        <v>4893281</v>
      </c>
      <c r="X46" s="25">
        <v>4.51854</v>
      </c>
      <c r="Y46" s="25">
        <v>49.070236</v>
      </c>
      <c r="Z46" s="6"/>
      <c r="AA46" s="7" t="s">
        <v>5138</v>
      </c>
      <c r="AB46" s="8">
        <v>2015</v>
      </c>
      <c r="AC46" s="9">
        <v>42297</v>
      </c>
      <c r="AD46" s="10"/>
      <c r="AE46" s="31" t="s">
        <v>5675</v>
      </c>
    </row>
    <row r="47" spans="1:31" ht="12.75">
      <c r="A47" s="4" t="s">
        <v>5676</v>
      </c>
      <c r="B47" s="1" t="s">
        <v>5656</v>
      </c>
      <c r="C47" s="1" t="s">
        <v>5677</v>
      </c>
      <c r="D47" s="1" t="s">
        <v>5678</v>
      </c>
      <c r="E47" s="2">
        <v>1143</v>
      </c>
      <c r="F47" s="2">
        <v>60</v>
      </c>
      <c r="G47" s="3" t="s">
        <v>5566</v>
      </c>
      <c r="H47" s="3" t="s">
        <v>5679</v>
      </c>
      <c r="I47" s="3" t="s">
        <v>5680</v>
      </c>
      <c r="J47" s="44" t="str">
        <f>HYPERLINK("https://www.centcols.org/util/geo/visuGen.php?code=FR-04-1143","FR-04-1143")</f>
        <v>FR-04-1143</v>
      </c>
      <c r="K47" s="3"/>
      <c r="L47" s="1"/>
      <c r="M47" s="8">
        <v>99</v>
      </c>
      <c r="N47" s="8">
        <v>20</v>
      </c>
      <c r="O47" s="4"/>
      <c r="P47" s="3"/>
      <c r="Q47" s="3" t="s">
        <v>5681</v>
      </c>
      <c r="R47" s="3" t="s">
        <v>5682</v>
      </c>
      <c r="S47" s="25">
        <v>5.760248</v>
      </c>
      <c r="T47" s="25">
        <v>44.149879</v>
      </c>
      <c r="U47" s="2">
        <v>31</v>
      </c>
      <c r="V47" s="3">
        <v>720745</v>
      </c>
      <c r="W47" s="3">
        <v>4892225</v>
      </c>
      <c r="X47" s="25">
        <v>3.80395</v>
      </c>
      <c r="Y47" s="25">
        <v>49.055412</v>
      </c>
      <c r="Z47" s="6"/>
      <c r="AA47" s="7" t="s">
        <v>5138</v>
      </c>
      <c r="AB47" s="8">
        <v>2016</v>
      </c>
      <c r="AC47" s="9">
        <v>42593</v>
      </c>
      <c r="AD47" s="10"/>
      <c r="AE47" s="31" t="s">
        <v>5683</v>
      </c>
    </row>
    <row r="48" spans="1:31" ht="12.75">
      <c r="A48" s="18" t="s">
        <v>1048</v>
      </c>
      <c r="B48" s="55" t="s">
        <v>1049</v>
      </c>
      <c r="C48" s="55" t="s">
        <v>1050</v>
      </c>
      <c r="D48" s="46" t="s">
        <v>1051</v>
      </c>
      <c r="E48" s="47">
        <v>1199</v>
      </c>
      <c r="F48" s="47">
        <v>60</v>
      </c>
      <c r="G48" s="47" t="s">
        <v>1052</v>
      </c>
      <c r="H48" s="47" t="s">
        <v>1053</v>
      </c>
      <c r="I48" s="47" t="s">
        <v>1054</v>
      </c>
      <c r="J48" s="44" t="str">
        <f>HYPERLINK("https://www.centcols.org/util/geo/visuGen.php?code=FR-04-1199a","FR-04-1199a")</f>
        <v>FR-04-1199a</v>
      </c>
      <c r="K48" s="48"/>
      <c r="L48" s="46" t="s">
        <v>5176</v>
      </c>
      <c r="M48" s="47">
        <v>99</v>
      </c>
      <c r="N48" s="47">
        <v>15</v>
      </c>
      <c r="O48" s="48"/>
      <c r="P48" s="48"/>
      <c r="Q48" s="47" t="s">
        <v>1055</v>
      </c>
      <c r="R48" s="47" t="s">
        <v>6938</v>
      </c>
      <c r="S48" s="115">
        <v>6.19747</v>
      </c>
      <c r="T48" s="115">
        <v>44.117489</v>
      </c>
      <c r="U48" s="47">
        <v>32</v>
      </c>
      <c r="V48" s="3">
        <v>275751</v>
      </c>
      <c r="W48" s="3">
        <v>4888742</v>
      </c>
      <c r="X48" s="115">
        <v>4.289736</v>
      </c>
      <c r="Y48" s="115">
        <v>49.01942</v>
      </c>
      <c r="Z48" s="48"/>
      <c r="AA48" s="7" t="s">
        <v>5138</v>
      </c>
      <c r="AB48" s="49">
        <v>2020</v>
      </c>
      <c r="AE48" s="103" t="s">
        <v>6673</v>
      </c>
    </row>
    <row r="49" spans="1:31" ht="12.75">
      <c r="A49" s="4" t="s">
        <v>5684</v>
      </c>
      <c r="B49" s="1" t="s">
        <v>5589</v>
      </c>
      <c r="C49" s="1" t="s">
        <v>5590</v>
      </c>
      <c r="D49" s="1" t="s">
        <v>5591</v>
      </c>
      <c r="E49" s="2">
        <v>1226</v>
      </c>
      <c r="F49" s="2">
        <v>60</v>
      </c>
      <c r="G49" s="3" t="s">
        <v>5685</v>
      </c>
      <c r="H49" s="3" t="s">
        <v>5686</v>
      </c>
      <c r="I49" s="3" t="s">
        <v>5687</v>
      </c>
      <c r="J49" s="44" t="str">
        <f>HYPERLINK("https://www.centcols.org/util/geo/visuGen.php?code=FR-04-1226","FR-04-1226")</f>
        <v>FR-04-1226</v>
      </c>
      <c r="K49" s="3"/>
      <c r="L49" s="1" t="s">
        <v>5688</v>
      </c>
      <c r="M49" s="8">
        <v>0</v>
      </c>
      <c r="N49" s="8">
        <v>0</v>
      </c>
      <c r="O49" s="4"/>
      <c r="P49" s="3"/>
      <c r="Q49" s="3" t="s">
        <v>5689</v>
      </c>
      <c r="R49" s="3" t="s">
        <v>5690</v>
      </c>
      <c r="S49" s="25">
        <v>6.090709</v>
      </c>
      <c r="T49" s="25">
        <v>44.243984</v>
      </c>
      <c r="U49" s="2">
        <v>32</v>
      </c>
      <c r="V49" s="3">
        <v>267705</v>
      </c>
      <c r="W49" s="3">
        <v>4903089</v>
      </c>
      <c r="X49" s="25">
        <v>4.171119</v>
      </c>
      <c r="Y49" s="25">
        <v>49.159974</v>
      </c>
      <c r="Z49" s="6"/>
      <c r="AA49" s="7" t="s">
        <v>5138</v>
      </c>
      <c r="AB49" s="8" t="s">
        <v>5691</v>
      </c>
      <c r="AC49" s="9">
        <v>41988</v>
      </c>
      <c r="AD49" s="10"/>
      <c r="AE49" s="31" t="s">
        <v>5692</v>
      </c>
    </row>
    <row r="50" spans="1:31" ht="12.75">
      <c r="A50" s="4" t="s">
        <v>5693</v>
      </c>
      <c r="B50" s="1" t="s">
        <v>5262</v>
      </c>
      <c r="C50" s="1" t="s">
        <v>5694</v>
      </c>
      <c r="D50" s="1" t="s">
        <v>5694</v>
      </c>
      <c r="E50" s="2">
        <v>1315</v>
      </c>
      <c r="F50" s="2">
        <v>60</v>
      </c>
      <c r="G50" s="3" t="s">
        <v>5695</v>
      </c>
      <c r="H50" s="3" t="s">
        <v>5696</v>
      </c>
      <c r="I50" s="3" t="s">
        <v>5697</v>
      </c>
      <c r="J50" s="44" t="str">
        <f>HYPERLINK("https://www.centcols.org/util/geo/visuGen.php?code=FR-04-1315","FR-04-1315")</f>
        <v>FR-04-1315</v>
      </c>
      <c r="K50" s="3" t="s">
        <v>5698</v>
      </c>
      <c r="L50" s="1" t="s">
        <v>5699</v>
      </c>
      <c r="M50" s="8">
        <v>0</v>
      </c>
      <c r="N50" s="8">
        <v>0</v>
      </c>
      <c r="O50" s="4"/>
      <c r="P50" s="3"/>
      <c r="Q50" s="3" t="s">
        <v>5700</v>
      </c>
      <c r="R50" s="3" t="s">
        <v>5701</v>
      </c>
      <c r="S50" s="25">
        <v>6.364528</v>
      </c>
      <c r="T50" s="25">
        <v>44.356829</v>
      </c>
      <c r="U50" s="2">
        <v>32</v>
      </c>
      <c r="V50" s="3">
        <v>289972</v>
      </c>
      <c r="W50" s="3">
        <v>4914885</v>
      </c>
      <c r="X50" s="25">
        <v>4.475353</v>
      </c>
      <c r="Y50" s="25">
        <v>49.28536</v>
      </c>
      <c r="Z50" s="6"/>
      <c r="AA50" s="7" t="s">
        <v>5176</v>
      </c>
      <c r="AB50" s="8" t="s">
        <v>5571</v>
      </c>
      <c r="AC50" s="9">
        <v>41219</v>
      </c>
      <c r="AD50" s="10">
        <v>1</v>
      </c>
      <c r="AE50" s="31" t="s">
        <v>5702</v>
      </c>
    </row>
    <row r="51" spans="1:31" ht="12.75">
      <c r="A51" s="18" t="s">
        <v>1287</v>
      </c>
      <c r="B51" s="50" t="s">
        <v>6076</v>
      </c>
      <c r="C51" s="50" t="s">
        <v>1288</v>
      </c>
      <c r="D51" s="50" t="s">
        <v>1289</v>
      </c>
      <c r="E51" s="24">
        <v>1355</v>
      </c>
      <c r="F51" s="24">
        <v>60</v>
      </c>
      <c r="G51" s="24" t="s">
        <v>5685</v>
      </c>
      <c r="H51" s="24" t="s">
        <v>1290</v>
      </c>
      <c r="I51" s="24" t="s">
        <v>1291</v>
      </c>
      <c r="J51" s="81" t="str">
        <f>HYPERLINK("https://www.centcols.org/util/geo/visuGen.php?code=FR-04-1355","FR-04-1355")</f>
        <v>FR-04-1355</v>
      </c>
      <c r="K51" s="51"/>
      <c r="L51" s="50" t="s">
        <v>5176</v>
      </c>
      <c r="M51" s="24">
        <v>99</v>
      </c>
      <c r="N51" s="24">
        <v>15</v>
      </c>
      <c r="O51" s="51"/>
      <c r="P51" s="51"/>
      <c r="Q51" s="24" t="s">
        <v>1292</v>
      </c>
      <c r="R51" s="24" t="s">
        <v>6939</v>
      </c>
      <c r="S51" s="56">
        <v>6.112733</v>
      </c>
      <c r="T51" s="56">
        <v>44.25623</v>
      </c>
      <c r="U51" s="24">
        <v>32</v>
      </c>
      <c r="V51" s="3">
        <v>269512</v>
      </c>
      <c r="W51" s="3">
        <v>4904387</v>
      </c>
      <c r="X51" s="25">
        <v>4.195589</v>
      </c>
      <c r="Y51" s="25">
        <v>49.173581</v>
      </c>
      <c r="Z51" s="24"/>
      <c r="AA51" s="19" t="s">
        <v>5138</v>
      </c>
      <c r="AB51" s="52">
        <v>2020</v>
      </c>
      <c r="AC51" s="53"/>
      <c r="AD51" s="53"/>
      <c r="AE51" s="29" t="s">
        <v>789</v>
      </c>
    </row>
    <row r="52" spans="1:31" ht="12.75">
      <c r="A52" s="4" t="s">
        <v>5703</v>
      </c>
      <c r="B52" s="1" t="s">
        <v>5704</v>
      </c>
      <c r="C52" s="1" t="s">
        <v>5705</v>
      </c>
      <c r="D52" s="1" t="s">
        <v>5706</v>
      </c>
      <c r="E52" s="2">
        <v>1200</v>
      </c>
      <c r="F52" s="2">
        <v>60</v>
      </c>
      <c r="G52" s="3" t="s">
        <v>5670</v>
      </c>
      <c r="H52" s="3" t="s">
        <v>5707</v>
      </c>
      <c r="I52" s="3" t="s">
        <v>5708</v>
      </c>
      <c r="J52" s="44" t="str">
        <f>HYPERLINK("https://www.centcols.org/util/geo/visuGen.php?code=FR-04-1373","FR-04-1373")</f>
        <v>FR-04-1373</v>
      </c>
      <c r="K52" s="3"/>
      <c r="L52" s="1" t="s">
        <v>5257</v>
      </c>
      <c r="M52" s="8">
        <v>1</v>
      </c>
      <c r="N52" s="8">
        <v>10</v>
      </c>
      <c r="O52" s="4"/>
      <c r="P52" s="3"/>
      <c r="Q52" s="3" t="s">
        <v>5709</v>
      </c>
      <c r="R52" s="3" t="s">
        <v>5710</v>
      </c>
      <c r="S52" s="25">
        <v>6.375247428722453</v>
      </c>
      <c r="T52" s="25">
        <v>44.1196030540883</v>
      </c>
      <c r="U52" s="2">
        <v>32</v>
      </c>
      <c r="V52" s="3">
        <v>289984</v>
      </c>
      <c r="W52" s="3">
        <v>4888507</v>
      </c>
      <c r="X52" s="25">
        <v>4.4872587995636914</v>
      </c>
      <c r="Y52" s="25">
        <v>49.02176815354126</v>
      </c>
      <c r="Z52" s="6"/>
      <c r="AA52" s="7" t="s">
        <v>5176</v>
      </c>
      <c r="AB52" s="8" t="s">
        <v>5711</v>
      </c>
      <c r="AC52" s="9"/>
      <c r="AD52" s="10">
        <v>1</v>
      </c>
      <c r="AE52" s="31" t="s">
        <v>5712</v>
      </c>
    </row>
    <row r="53" spans="1:31" ht="12.75">
      <c r="A53" s="4" t="s">
        <v>5713</v>
      </c>
      <c r="B53" s="1" t="s">
        <v>5656</v>
      </c>
      <c r="C53" s="1" t="s">
        <v>5714</v>
      </c>
      <c r="D53" s="1" t="s">
        <v>5715</v>
      </c>
      <c r="E53" s="2">
        <v>1380</v>
      </c>
      <c r="F53" s="2">
        <v>61</v>
      </c>
      <c r="G53" s="3" t="s">
        <v>5615</v>
      </c>
      <c r="H53" s="3" t="s">
        <v>5716</v>
      </c>
      <c r="I53" s="3" t="s">
        <v>5717</v>
      </c>
      <c r="J53" s="44" t="str">
        <f>HYPERLINK("https://www.centcols.org/util/geo/visuGen.php?code=FR-04-1380a","FR-04-1380a")</f>
        <v>FR-04-1380a</v>
      </c>
      <c r="K53" s="3"/>
      <c r="L53" s="1"/>
      <c r="M53" s="8">
        <v>99</v>
      </c>
      <c r="N53" s="8">
        <v>20</v>
      </c>
      <c r="O53" s="4"/>
      <c r="P53" s="3"/>
      <c r="Q53" s="3" t="s">
        <v>5718</v>
      </c>
      <c r="R53" s="3" t="s">
        <v>5719</v>
      </c>
      <c r="S53" s="25">
        <v>6.39627964104606</v>
      </c>
      <c r="T53" s="25">
        <v>44.092621552916654</v>
      </c>
      <c r="U53" s="2">
        <v>32</v>
      </c>
      <c r="V53" s="3">
        <v>291572</v>
      </c>
      <c r="W53" s="3">
        <v>4885457</v>
      </c>
      <c r="X53" s="25">
        <v>4.510626754083838</v>
      </c>
      <c r="Y53" s="25">
        <v>48.99178796833871</v>
      </c>
      <c r="Z53" s="6"/>
      <c r="AA53" s="7" t="s">
        <v>5138</v>
      </c>
      <c r="AB53" s="8" t="s">
        <v>5571</v>
      </c>
      <c r="AC53" s="9">
        <v>41264</v>
      </c>
      <c r="AD53" s="10">
        <v>9</v>
      </c>
      <c r="AE53" s="31" t="s">
        <v>5720</v>
      </c>
    </row>
    <row r="54" spans="1:31" ht="12.75">
      <c r="A54" s="105" t="s">
        <v>1056</v>
      </c>
      <c r="B54" s="46" t="s">
        <v>5262</v>
      </c>
      <c r="C54" s="46" t="s">
        <v>1057</v>
      </c>
      <c r="D54" s="46" t="s">
        <v>1057</v>
      </c>
      <c r="E54" s="47">
        <v>1965</v>
      </c>
      <c r="F54" s="47">
        <v>60</v>
      </c>
      <c r="G54" s="47" t="s">
        <v>1052</v>
      </c>
      <c r="H54" s="47" t="s">
        <v>1058</v>
      </c>
      <c r="I54" s="47" t="s">
        <v>1059</v>
      </c>
      <c r="J54" s="44" t="str">
        <f>HYPERLINK("https://www.centcols.org/util/geo/visuGen.php?code=FR-04-1390c","FR-04-1390c")</f>
        <v>FR-04-1390c</v>
      </c>
      <c r="K54" s="48"/>
      <c r="L54" s="46" t="s">
        <v>5176</v>
      </c>
      <c r="M54" s="47">
        <v>99</v>
      </c>
      <c r="N54" s="47">
        <v>15</v>
      </c>
      <c r="O54" s="48"/>
      <c r="P54" s="48"/>
      <c r="Q54" s="47" t="s">
        <v>1060</v>
      </c>
      <c r="R54" s="47" t="s">
        <v>6940</v>
      </c>
      <c r="S54" s="114">
        <v>6.193502</v>
      </c>
      <c r="T54" s="114">
        <v>44.134844</v>
      </c>
      <c r="U54" s="47">
        <v>32</v>
      </c>
      <c r="V54" s="3">
        <v>275499</v>
      </c>
      <c r="W54" s="3">
        <v>4890680</v>
      </c>
      <c r="X54" s="115">
        <v>4.285327</v>
      </c>
      <c r="Y54" s="115">
        <v>49.038704</v>
      </c>
      <c r="Z54" s="48"/>
      <c r="AA54" s="7" t="s">
        <v>5138</v>
      </c>
      <c r="AB54" s="49">
        <v>2020</v>
      </c>
      <c r="AE54" s="103" t="s">
        <v>6681</v>
      </c>
    </row>
    <row r="55" spans="1:31" ht="12.75">
      <c r="A55" s="18" t="s">
        <v>1061</v>
      </c>
      <c r="B55" s="46" t="s">
        <v>5759</v>
      </c>
      <c r="C55" s="46" t="s">
        <v>1062</v>
      </c>
      <c r="D55" s="46" t="s">
        <v>1063</v>
      </c>
      <c r="E55" s="47">
        <v>1421</v>
      </c>
      <c r="F55" s="47">
        <v>60</v>
      </c>
      <c r="G55" s="47" t="s">
        <v>1052</v>
      </c>
      <c r="H55" s="47" t="s">
        <v>1064</v>
      </c>
      <c r="I55" s="47" t="s">
        <v>1065</v>
      </c>
      <c r="J55" s="44" t="str">
        <f>HYPERLINK("https://www.centcols.org/util/geo/visuGen.php?code=FR-04-1421","FR-04-1421")</f>
        <v>FR-04-1421</v>
      </c>
      <c r="K55" s="48"/>
      <c r="L55" s="48"/>
      <c r="M55" s="47">
        <v>99</v>
      </c>
      <c r="N55" s="47">
        <v>20</v>
      </c>
      <c r="O55" s="48"/>
      <c r="P55" s="48"/>
      <c r="Q55" s="47" t="s">
        <v>1066</v>
      </c>
      <c r="R55" s="47" t="s">
        <v>6941</v>
      </c>
      <c r="S55" s="114">
        <v>6.227879</v>
      </c>
      <c r="T55" s="114">
        <v>44.276272</v>
      </c>
      <c r="U55" s="47">
        <v>32</v>
      </c>
      <c r="V55" s="3">
        <v>278779</v>
      </c>
      <c r="W55" s="3">
        <v>4906296</v>
      </c>
      <c r="X55" s="115">
        <v>4.323525</v>
      </c>
      <c r="Y55" s="115">
        <v>49.19585</v>
      </c>
      <c r="Z55" s="48"/>
      <c r="AA55" s="7" t="s">
        <v>5138</v>
      </c>
      <c r="AB55" s="49">
        <v>2020</v>
      </c>
      <c r="AE55" s="103" t="s">
        <v>6680</v>
      </c>
    </row>
    <row r="56" spans="1:31" ht="12.75">
      <c r="A56" s="18" t="s">
        <v>1067</v>
      </c>
      <c r="B56" s="46" t="s">
        <v>5262</v>
      </c>
      <c r="C56" s="46" t="s">
        <v>6018</v>
      </c>
      <c r="D56" s="46" t="s">
        <v>6018</v>
      </c>
      <c r="E56" s="47">
        <v>1440</v>
      </c>
      <c r="F56" s="47">
        <v>60</v>
      </c>
      <c r="G56" s="47" t="s">
        <v>5670</v>
      </c>
      <c r="H56" s="47" t="s">
        <v>1068</v>
      </c>
      <c r="I56" s="47" t="s">
        <v>1069</v>
      </c>
      <c r="J56" s="44" t="str">
        <f>HYPERLINK("https://www.centcols.org/util/geo/visuGen.php?code=FR-04-1440","FR-04-1440")</f>
        <v>FR-04-1440</v>
      </c>
      <c r="K56" s="48"/>
      <c r="L56" s="46" t="s">
        <v>5176</v>
      </c>
      <c r="M56" s="47">
        <v>99</v>
      </c>
      <c r="N56" s="47">
        <v>15</v>
      </c>
      <c r="O56" s="48"/>
      <c r="P56" s="48"/>
      <c r="Q56" s="47" t="s">
        <v>1070</v>
      </c>
      <c r="R56" s="47" t="s">
        <v>6942</v>
      </c>
      <c r="S56" s="114">
        <v>6.448094</v>
      </c>
      <c r="T56" s="114">
        <v>44.173202</v>
      </c>
      <c r="U56" s="47">
        <v>32</v>
      </c>
      <c r="V56" s="3">
        <v>295997</v>
      </c>
      <c r="W56" s="3">
        <v>4894277</v>
      </c>
      <c r="X56" s="115">
        <v>4.568197</v>
      </c>
      <c r="Y56" s="115">
        <v>49.081324</v>
      </c>
      <c r="Z56" s="48"/>
      <c r="AA56" s="7" t="s">
        <v>5138</v>
      </c>
      <c r="AB56" s="49">
        <v>2020</v>
      </c>
      <c r="AE56" s="103" t="s">
        <v>6679</v>
      </c>
    </row>
    <row r="57" spans="1:31" ht="12.75">
      <c r="A57" s="4" t="s">
        <v>5721</v>
      </c>
      <c r="B57" s="1" t="s">
        <v>5612</v>
      </c>
      <c r="C57" s="1" t="s">
        <v>5722</v>
      </c>
      <c r="D57" s="1" t="s">
        <v>5694</v>
      </c>
      <c r="E57" s="2">
        <v>1470</v>
      </c>
      <c r="F57" s="2">
        <v>61</v>
      </c>
      <c r="G57" s="3" t="s">
        <v>5723</v>
      </c>
      <c r="H57" s="3" t="s">
        <v>5724</v>
      </c>
      <c r="I57" s="3" t="s">
        <v>5725</v>
      </c>
      <c r="J57" s="44" t="str">
        <f>HYPERLINK("https://www.centcols.org/util/geo/visuGen.php?code=FR-04-1470","FR-04-1470")</f>
        <v>FR-04-1470</v>
      </c>
      <c r="K57" s="3"/>
      <c r="L57" s="1" t="s">
        <v>5726</v>
      </c>
      <c r="M57" s="8">
        <v>99</v>
      </c>
      <c r="N57" s="8">
        <v>15</v>
      </c>
      <c r="O57" s="4"/>
      <c r="P57" s="3"/>
      <c r="Q57" s="3" t="s">
        <v>5727</v>
      </c>
      <c r="R57" s="3" t="s">
        <v>5728</v>
      </c>
      <c r="S57" s="25">
        <v>6.742427179088862</v>
      </c>
      <c r="T57" s="25">
        <v>44.17939267119317</v>
      </c>
      <c r="U57" s="2">
        <v>32</v>
      </c>
      <c r="V57" s="3">
        <v>319546</v>
      </c>
      <c r="W57" s="3">
        <v>4894276</v>
      </c>
      <c r="X57" s="25">
        <v>4.895223483132467</v>
      </c>
      <c r="Y57" s="25">
        <v>49.08820116251452</v>
      </c>
      <c r="Z57" s="6"/>
      <c r="AA57" s="7" t="s">
        <v>5138</v>
      </c>
      <c r="AB57" s="8">
        <v>2008</v>
      </c>
      <c r="AC57" s="9"/>
      <c r="AD57" s="10">
        <v>1</v>
      </c>
      <c r="AE57" s="31" t="s">
        <v>5729</v>
      </c>
    </row>
    <row r="58" spans="1:31" ht="12.75">
      <c r="A58" s="4" t="s">
        <v>5730</v>
      </c>
      <c r="B58" s="1" t="s">
        <v>5731</v>
      </c>
      <c r="C58" s="1" t="s">
        <v>5732</v>
      </c>
      <c r="D58" s="1" t="s">
        <v>5733</v>
      </c>
      <c r="E58" s="2">
        <v>1500</v>
      </c>
      <c r="F58" s="2">
        <v>54</v>
      </c>
      <c r="G58" s="3" t="s">
        <v>5734</v>
      </c>
      <c r="H58" s="3" t="s">
        <v>5735</v>
      </c>
      <c r="I58" s="3" t="s">
        <v>5736</v>
      </c>
      <c r="J58" s="44" t="str">
        <f>HYPERLINK("https://www.centcols.org/util/geo/visuGen.php?code=FR-04-1500a","FR-04-1500a")</f>
        <v>FR-04-1500a</v>
      </c>
      <c r="K58" s="3"/>
      <c r="L58" s="1"/>
      <c r="M58" s="8">
        <v>99</v>
      </c>
      <c r="N58" s="8">
        <v>20</v>
      </c>
      <c r="O58" s="4"/>
      <c r="P58" s="3"/>
      <c r="Q58" s="3" t="s">
        <v>5737</v>
      </c>
      <c r="R58" s="3" t="s">
        <v>5738</v>
      </c>
      <c r="S58" s="25">
        <v>6.743142</v>
      </c>
      <c r="T58" s="25">
        <v>44.506219</v>
      </c>
      <c r="U58" s="2">
        <v>32</v>
      </c>
      <c r="V58" s="3">
        <v>320603</v>
      </c>
      <c r="W58" s="3">
        <v>4930577</v>
      </c>
      <c r="X58" s="25">
        <v>4.896023</v>
      </c>
      <c r="Y58" s="25">
        <v>49.451349</v>
      </c>
      <c r="Z58" s="6"/>
      <c r="AA58" s="7" t="s">
        <v>5138</v>
      </c>
      <c r="AB58" s="8">
        <v>2015</v>
      </c>
      <c r="AC58" s="9">
        <v>42297</v>
      </c>
      <c r="AD58" s="10"/>
      <c r="AE58" s="31" t="s">
        <v>5739</v>
      </c>
    </row>
    <row r="59" spans="1:31" ht="12.75">
      <c r="A59" s="13" t="s">
        <v>5740</v>
      </c>
      <c r="B59" s="13" t="s">
        <v>5741</v>
      </c>
      <c r="C59" s="13" t="s">
        <v>5742</v>
      </c>
      <c r="D59" s="13" t="s">
        <v>5743</v>
      </c>
      <c r="E59" s="14">
        <v>1670</v>
      </c>
      <c r="F59" s="14">
        <v>60</v>
      </c>
      <c r="G59" s="15" t="s">
        <v>5670</v>
      </c>
      <c r="H59" s="15" t="s">
        <v>5744</v>
      </c>
      <c r="I59" s="15" t="s">
        <v>5745</v>
      </c>
      <c r="J59" s="44" t="str">
        <f>HYPERLINK("https://www.centcols.org/util/geo/visuGen.php?code=FR-04-1670","FR-04-1670")</f>
        <v>FR-04-1670</v>
      </c>
      <c r="K59" s="15"/>
      <c r="L59" s="13" t="s">
        <v>5746</v>
      </c>
      <c r="M59" s="14">
        <v>99</v>
      </c>
      <c r="N59" s="14">
        <v>20</v>
      </c>
      <c r="O59" s="16"/>
      <c r="P59" s="15"/>
      <c r="Q59" s="15" t="s">
        <v>5747</v>
      </c>
      <c r="R59" s="15" t="s">
        <v>5748</v>
      </c>
      <c r="S59" s="59">
        <v>6.38378</v>
      </c>
      <c r="T59" s="59">
        <v>44.110162</v>
      </c>
      <c r="U59" s="17">
        <v>32</v>
      </c>
      <c r="V59" s="3">
        <v>290633</v>
      </c>
      <c r="W59" s="3">
        <v>4887437</v>
      </c>
      <c r="X59" s="59">
        <v>4.496739</v>
      </c>
      <c r="Y59" s="59">
        <v>49.011277</v>
      </c>
      <c r="Z59" s="16"/>
      <c r="AA59" s="11" t="s">
        <v>5176</v>
      </c>
      <c r="AB59" s="11">
        <v>2018</v>
      </c>
      <c r="AC59" s="19"/>
      <c r="AD59" s="19"/>
      <c r="AE59" s="23" t="s">
        <v>5749</v>
      </c>
    </row>
    <row r="60" spans="1:31" ht="12.75">
      <c r="A60" s="4" t="s">
        <v>5750</v>
      </c>
      <c r="B60" s="1" t="s">
        <v>5612</v>
      </c>
      <c r="C60" s="1" t="s">
        <v>5751</v>
      </c>
      <c r="D60" s="1" t="s">
        <v>5752</v>
      </c>
      <c r="E60" s="2">
        <v>1680</v>
      </c>
      <c r="F60" s="2">
        <v>61</v>
      </c>
      <c r="G60" s="3" t="s">
        <v>5723</v>
      </c>
      <c r="H60" s="3" t="s">
        <v>5753</v>
      </c>
      <c r="I60" s="3" t="s">
        <v>5754</v>
      </c>
      <c r="J60" s="44" t="str">
        <f>HYPERLINK("https://www.centcols.org/util/geo/visuGen.php?code=FR-04-1725a","FR-04-1725a")</f>
        <v>FR-04-1725a</v>
      </c>
      <c r="K60" s="3"/>
      <c r="L60" s="1" t="s">
        <v>5726</v>
      </c>
      <c r="M60" s="8">
        <v>99</v>
      </c>
      <c r="N60" s="8">
        <v>15</v>
      </c>
      <c r="O60" s="4"/>
      <c r="P60" s="3"/>
      <c r="Q60" s="3" t="s">
        <v>5755</v>
      </c>
      <c r="R60" s="3" t="s">
        <v>5756</v>
      </c>
      <c r="S60" s="25">
        <v>6.729624903491801</v>
      </c>
      <c r="T60" s="25">
        <v>44.180760136126246</v>
      </c>
      <c r="U60" s="2">
        <v>32</v>
      </c>
      <c r="V60" s="3">
        <v>318527</v>
      </c>
      <c r="W60" s="3">
        <v>4894456</v>
      </c>
      <c r="X60" s="25">
        <v>4.8809992271221</v>
      </c>
      <c r="Y60" s="25">
        <v>49.08972075274695</v>
      </c>
      <c r="Z60" s="6"/>
      <c r="AA60" s="7" t="s">
        <v>5138</v>
      </c>
      <c r="AB60" s="8">
        <v>2008</v>
      </c>
      <c r="AC60" s="9"/>
      <c r="AD60" s="10">
        <v>1</v>
      </c>
      <c r="AE60" s="31" t="s">
        <v>5757</v>
      </c>
    </row>
    <row r="61" spans="1:31" ht="12.75">
      <c r="A61" s="4" t="s">
        <v>5758</v>
      </c>
      <c r="B61" s="1" t="s">
        <v>5759</v>
      </c>
      <c r="C61" s="1" t="s">
        <v>5760</v>
      </c>
      <c r="D61" s="1" t="s">
        <v>5761</v>
      </c>
      <c r="E61" s="2">
        <v>1744</v>
      </c>
      <c r="F61" s="2">
        <v>61</v>
      </c>
      <c r="G61" s="3" t="s">
        <v>5762</v>
      </c>
      <c r="H61" s="3" t="s">
        <v>5763</v>
      </c>
      <c r="I61" s="3" t="s">
        <v>5764</v>
      </c>
      <c r="J61" s="44" t="str">
        <f>HYPERLINK("https://www.centcols.org/util/geo/visuGen.php?code=FR-04-1744","FR-04-1744")</f>
        <v>FR-04-1744</v>
      </c>
      <c r="K61" s="3"/>
      <c r="L61" s="1"/>
      <c r="M61" s="8">
        <v>99</v>
      </c>
      <c r="N61" s="8">
        <v>20</v>
      </c>
      <c r="O61" s="4"/>
      <c r="P61" s="3"/>
      <c r="Q61" s="3" t="s">
        <v>5765</v>
      </c>
      <c r="R61" s="3" t="s">
        <v>5766</v>
      </c>
      <c r="S61" s="25">
        <v>6.6044699032850955</v>
      </c>
      <c r="T61" s="25">
        <v>44.00409316847159</v>
      </c>
      <c r="U61" s="2">
        <v>32</v>
      </c>
      <c r="V61" s="3">
        <v>307952</v>
      </c>
      <c r="W61" s="3">
        <v>4875117</v>
      </c>
      <c r="X61" s="25">
        <v>4.741940441259219</v>
      </c>
      <c r="Y61" s="25">
        <v>48.89342049042472</v>
      </c>
      <c r="Z61" s="6"/>
      <c r="AA61" s="7" t="s">
        <v>5138</v>
      </c>
      <c r="AB61" s="8">
        <v>2008</v>
      </c>
      <c r="AC61" s="9"/>
      <c r="AD61" s="10">
        <v>1</v>
      </c>
      <c r="AE61" s="31" t="s">
        <v>5767</v>
      </c>
    </row>
    <row r="62" spans="1:31" ht="12.75">
      <c r="A62" s="105" t="s">
        <v>1293</v>
      </c>
      <c r="B62" s="50" t="s">
        <v>5262</v>
      </c>
      <c r="C62" s="50" t="s">
        <v>757</v>
      </c>
      <c r="D62" s="50" t="s">
        <v>757</v>
      </c>
      <c r="E62" s="24">
        <v>1965</v>
      </c>
      <c r="F62" s="24">
        <v>60</v>
      </c>
      <c r="G62" s="24" t="s">
        <v>5695</v>
      </c>
      <c r="H62" s="24" t="s">
        <v>1294</v>
      </c>
      <c r="I62" s="24" t="s">
        <v>1295</v>
      </c>
      <c r="J62" s="81" t="str">
        <f>HYPERLINK("https://www.centcols.org/util/geo/visuGen.php?code=FR-04-1965","FR-04-1965")</f>
        <v>FR-04-1965</v>
      </c>
      <c r="K62" s="51"/>
      <c r="L62" s="51"/>
      <c r="M62" s="24">
        <v>99</v>
      </c>
      <c r="N62" s="24">
        <v>20</v>
      </c>
      <c r="O62" s="51"/>
      <c r="P62" s="51"/>
      <c r="Q62" s="24" t="s">
        <v>1296</v>
      </c>
      <c r="R62" s="24" t="s">
        <v>6943</v>
      </c>
      <c r="S62" s="56">
        <v>6.413999</v>
      </c>
      <c r="T62" s="56">
        <v>44.398288</v>
      </c>
      <c r="U62" s="24">
        <v>32</v>
      </c>
      <c r="V62" s="3">
        <v>294060</v>
      </c>
      <c r="W62" s="3">
        <v>4919364</v>
      </c>
      <c r="X62" s="25">
        <v>4.530319</v>
      </c>
      <c r="Y62" s="25">
        <v>49.331426</v>
      </c>
      <c r="Z62" s="24"/>
      <c r="AA62" s="19" t="s">
        <v>5138</v>
      </c>
      <c r="AB62" s="52">
        <v>2020</v>
      </c>
      <c r="AC62" s="53"/>
      <c r="AD62" s="53"/>
      <c r="AE62" s="29" t="s">
        <v>1303</v>
      </c>
    </row>
    <row r="63" spans="1:31" ht="12.75">
      <c r="A63" s="4" t="s">
        <v>5768</v>
      </c>
      <c r="B63" s="1" t="s">
        <v>5741</v>
      </c>
      <c r="C63" s="1" t="s">
        <v>5769</v>
      </c>
      <c r="D63" s="1" t="s">
        <v>5770</v>
      </c>
      <c r="E63" s="2">
        <v>1995</v>
      </c>
      <c r="F63" s="2">
        <v>54</v>
      </c>
      <c r="G63" s="3" t="s">
        <v>5734</v>
      </c>
      <c r="H63" s="3" t="s">
        <v>5771</v>
      </c>
      <c r="I63" s="3" t="s">
        <v>5772</v>
      </c>
      <c r="J63" s="44" t="str">
        <f>HYPERLINK("https://www.centcols.org/util/geo/visuGen.php?code=FR-04-1995","FR-04-1995")</f>
        <v>FR-04-1995</v>
      </c>
      <c r="K63" s="3"/>
      <c r="L63" s="1"/>
      <c r="M63" s="8">
        <v>99</v>
      </c>
      <c r="N63" s="8">
        <v>20</v>
      </c>
      <c r="O63" s="4"/>
      <c r="P63" s="3"/>
      <c r="Q63" s="3" t="s">
        <v>5773</v>
      </c>
      <c r="R63" s="3" t="s">
        <v>5774</v>
      </c>
      <c r="S63" s="25">
        <v>6.728194</v>
      </c>
      <c r="T63" s="25">
        <v>44.478822</v>
      </c>
      <c r="U63" s="2">
        <v>32</v>
      </c>
      <c r="V63" s="3">
        <v>319330</v>
      </c>
      <c r="W63" s="3">
        <v>4927567</v>
      </c>
      <c r="X63" s="25">
        <v>4.879414</v>
      </c>
      <c r="Y63" s="25">
        <v>49.420908</v>
      </c>
      <c r="Z63" s="6"/>
      <c r="AA63" s="7" t="s">
        <v>5138</v>
      </c>
      <c r="AB63" s="8">
        <v>2017</v>
      </c>
      <c r="AC63" s="9"/>
      <c r="AD63" s="10"/>
      <c r="AE63" s="31" t="s">
        <v>5775</v>
      </c>
    </row>
    <row r="64" spans="1:31" ht="12.75">
      <c r="A64" s="4" t="s">
        <v>5776</v>
      </c>
      <c r="B64" s="1" t="s">
        <v>5741</v>
      </c>
      <c r="C64" s="1" t="s">
        <v>5777</v>
      </c>
      <c r="D64" s="1" t="s">
        <v>5778</v>
      </c>
      <c r="E64" s="2">
        <v>2205</v>
      </c>
      <c r="F64" s="2">
        <v>54</v>
      </c>
      <c r="G64" s="3" t="s">
        <v>5779</v>
      </c>
      <c r="H64" s="3" t="s">
        <v>5780</v>
      </c>
      <c r="I64" s="3" t="s">
        <v>5781</v>
      </c>
      <c r="J64" s="44" t="str">
        <f>HYPERLINK("https://www.centcols.org/util/geo/visuGen.php?code=FR-04-2205","FR-04-2205")</f>
        <v>FR-04-2205</v>
      </c>
      <c r="K64" s="3"/>
      <c r="L64" s="1"/>
      <c r="M64" s="8">
        <v>99</v>
      </c>
      <c r="N64" s="8">
        <v>20</v>
      </c>
      <c r="O64" s="4"/>
      <c r="P64" s="3"/>
      <c r="Q64" s="3" t="s">
        <v>5782</v>
      </c>
      <c r="R64" s="3" t="s">
        <v>5783</v>
      </c>
      <c r="S64" s="25">
        <v>6.769586</v>
      </c>
      <c r="T64" s="25">
        <v>44.459161</v>
      </c>
      <c r="U64" s="2">
        <v>32</v>
      </c>
      <c r="V64" s="3">
        <v>322562</v>
      </c>
      <c r="W64" s="3">
        <v>4925293</v>
      </c>
      <c r="X64" s="25">
        <v>4.925403</v>
      </c>
      <c r="Y64" s="25">
        <v>49.399062</v>
      </c>
      <c r="Z64" s="6"/>
      <c r="AA64" s="7" t="s">
        <v>5138</v>
      </c>
      <c r="AB64" s="8">
        <v>2016</v>
      </c>
      <c r="AC64" s="9">
        <v>42593</v>
      </c>
      <c r="AD64" s="10"/>
      <c r="AE64" s="31" t="s">
        <v>5784</v>
      </c>
    </row>
    <row r="65" spans="1:31" ht="12.75">
      <c r="A65" s="18" t="s">
        <v>1071</v>
      </c>
      <c r="B65" s="46" t="s">
        <v>5128</v>
      </c>
      <c r="C65" s="46" t="s">
        <v>1072</v>
      </c>
      <c r="D65" s="46" t="s">
        <v>1073</v>
      </c>
      <c r="E65" s="47">
        <v>734</v>
      </c>
      <c r="F65" s="47">
        <v>54</v>
      </c>
      <c r="G65" s="47" t="s">
        <v>5592</v>
      </c>
      <c r="H65" s="47" t="s">
        <v>1074</v>
      </c>
      <c r="I65" s="47" t="s">
        <v>1075</v>
      </c>
      <c r="J65" s="44" t="str">
        <f>HYPERLINK("https://www.centcols.org/util/geo/visuGen.php?code=FR-05-0734","FR-05-0734")</f>
        <v>FR-05-0734</v>
      </c>
      <c r="K65" s="47" t="s">
        <v>1076</v>
      </c>
      <c r="L65" s="46" t="s">
        <v>1077</v>
      </c>
      <c r="M65" s="47">
        <v>0</v>
      </c>
      <c r="N65" s="47">
        <v>0</v>
      </c>
      <c r="O65" s="48"/>
      <c r="P65" s="48"/>
      <c r="Q65" s="47" t="s">
        <v>1078</v>
      </c>
      <c r="R65" s="47" t="s">
        <v>6944</v>
      </c>
      <c r="S65" s="115">
        <v>6.124851</v>
      </c>
      <c r="T65" s="115">
        <v>44.482465</v>
      </c>
      <c r="U65" s="47">
        <v>32</v>
      </c>
      <c r="V65" s="3">
        <v>271362</v>
      </c>
      <c r="W65" s="3">
        <v>4929483</v>
      </c>
      <c r="X65" s="115">
        <v>4.209056</v>
      </c>
      <c r="Y65" s="115">
        <v>49.424959</v>
      </c>
      <c r="Z65" s="48"/>
      <c r="AA65" s="7" t="s">
        <v>5138</v>
      </c>
      <c r="AB65" s="49">
        <v>2020</v>
      </c>
      <c r="AE65" s="103" t="s">
        <v>6677</v>
      </c>
    </row>
    <row r="66" spans="1:31" ht="12.75">
      <c r="A66" s="18" t="s">
        <v>1079</v>
      </c>
      <c r="B66" s="46" t="s">
        <v>5574</v>
      </c>
      <c r="C66" s="46" t="s">
        <v>1080</v>
      </c>
      <c r="D66" s="46" t="s">
        <v>1081</v>
      </c>
      <c r="E66" s="47">
        <v>782</v>
      </c>
      <c r="F66" s="47">
        <v>60</v>
      </c>
      <c r="G66" s="47" t="s">
        <v>5828</v>
      </c>
      <c r="H66" s="47" t="s">
        <v>1082</v>
      </c>
      <c r="I66" s="47" t="s">
        <v>1083</v>
      </c>
      <c r="J66" s="44" t="str">
        <f>HYPERLINK("https://www.centcols.org/util/geo/visuGen.php?code=FR-05-0782","FR-05-0782")</f>
        <v>FR-05-0782</v>
      </c>
      <c r="K66" s="48"/>
      <c r="L66" s="46" t="s">
        <v>3819</v>
      </c>
      <c r="M66" s="47">
        <v>1</v>
      </c>
      <c r="N66" s="47">
        <v>10</v>
      </c>
      <c r="O66" s="48"/>
      <c r="P66" s="48"/>
      <c r="Q66" s="47" t="s">
        <v>1084</v>
      </c>
      <c r="R66" s="47" t="s">
        <v>6945</v>
      </c>
      <c r="S66" s="115">
        <v>5.76202</v>
      </c>
      <c r="T66" s="115">
        <v>44.280708</v>
      </c>
      <c r="U66" s="47">
        <v>31</v>
      </c>
      <c r="V66" s="3">
        <v>720398</v>
      </c>
      <c r="W66" s="3">
        <v>4906762</v>
      </c>
      <c r="X66" s="115">
        <v>3.805922</v>
      </c>
      <c r="Y66" s="115">
        <v>49.20078</v>
      </c>
      <c r="Z66" s="48"/>
      <c r="AA66" s="7" t="s">
        <v>5138</v>
      </c>
      <c r="AB66" s="49">
        <v>2020</v>
      </c>
      <c r="AE66" s="103" t="s">
        <v>6671</v>
      </c>
    </row>
    <row r="67" spans="1:31" ht="12.75">
      <c r="A67" s="18" t="s">
        <v>1297</v>
      </c>
      <c r="B67" s="50" t="s">
        <v>5262</v>
      </c>
      <c r="C67" s="50" t="s">
        <v>5806</v>
      </c>
      <c r="D67" s="50" t="s">
        <v>5806</v>
      </c>
      <c r="E67" s="24">
        <v>798</v>
      </c>
      <c r="F67" s="24">
        <v>54</v>
      </c>
      <c r="G67" s="24" t="s">
        <v>5880</v>
      </c>
      <c r="H67" s="24" t="s">
        <v>1298</v>
      </c>
      <c r="I67" s="24" t="s">
        <v>1299</v>
      </c>
      <c r="J67" s="81" t="str">
        <f>HYPERLINK("https://www.centcols.org/util/geo/visuGen.php?code=FR-05-0798","FR-05-0798")</f>
        <v>FR-05-0798</v>
      </c>
      <c r="K67" s="24" t="s">
        <v>1300</v>
      </c>
      <c r="L67" s="50" t="s">
        <v>1301</v>
      </c>
      <c r="M67" s="24">
        <v>0</v>
      </c>
      <c r="N67" s="24">
        <v>0</v>
      </c>
      <c r="O67" s="51"/>
      <c r="P67" s="51"/>
      <c r="Q67" s="24" t="s">
        <v>1302</v>
      </c>
      <c r="R67" s="24" t="s">
        <v>6946</v>
      </c>
      <c r="S67" s="25">
        <v>6.050127</v>
      </c>
      <c r="T67" s="25">
        <v>44.487972</v>
      </c>
      <c r="U67" s="24">
        <v>32</v>
      </c>
      <c r="V67" s="3">
        <v>265442</v>
      </c>
      <c r="W67" s="3">
        <v>4930306</v>
      </c>
      <c r="X67" s="25">
        <v>4.126033</v>
      </c>
      <c r="Y67" s="25">
        <v>49.431079</v>
      </c>
      <c r="Z67" s="24"/>
      <c r="AA67" s="19" t="s">
        <v>5138</v>
      </c>
      <c r="AB67" s="52">
        <v>2020</v>
      </c>
      <c r="AC67" s="53"/>
      <c r="AD67" s="53"/>
      <c r="AE67" s="29" t="s">
        <v>1304</v>
      </c>
    </row>
    <row r="68" spans="1:31" ht="12.75">
      <c r="A68" s="4" t="s">
        <v>5785</v>
      </c>
      <c r="B68" s="1" t="s">
        <v>5128</v>
      </c>
      <c r="C68" s="1" t="s">
        <v>5786</v>
      </c>
      <c r="D68" s="1" t="s">
        <v>5787</v>
      </c>
      <c r="E68" s="2">
        <v>840</v>
      </c>
      <c r="F68" s="2">
        <v>60</v>
      </c>
      <c r="G68" s="3" t="s">
        <v>5788</v>
      </c>
      <c r="H68" s="3" t="s">
        <v>5789</v>
      </c>
      <c r="I68" s="3" t="s">
        <v>5790</v>
      </c>
      <c r="J68" s="44" t="str">
        <f>HYPERLINK("https://www.centcols.org/util/geo/visuGen.php?code=FR-05-0833","FR-05-0833")</f>
        <v>FR-05-0833</v>
      </c>
      <c r="K68" s="3" t="s">
        <v>5791</v>
      </c>
      <c r="L68" s="1" t="s">
        <v>5792</v>
      </c>
      <c r="M68" s="8">
        <v>0</v>
      </c>
      <c r="N68" s="8">
        <v>0</v>
      </c>
      <c r="O68" s="4"/>
      <c r="P68" s="3"/>
      <c r="Q68" s="3" t="s">
        <v>5793</v>
      </c>
      <c r="R68" s="3" t="s">
        <v>5794</v>
      </c>
      <c r="S68" s="25">
        <v>6.199945</v>
      </c>
      <c r="T68" s="25">
        <v>44.420908</v>
      </c>
      <c r="U68" s="2">
        <v>32</v>
      </c>
      <c r="V68" s="3">
        <v>277099</v>
      </c>
      <c r="W68" s="3">
        <v>4922438</v>
      </c>
      <c r="X68" s="25">
        <v>4.29249</v>
      </c>
      <c r="Y68" s="25">
        <v>49.356561</v>
      </c>
      <c r="Z68" s="6"/>
      <c r="AA68" s="7" t="s">
        <v>5176</v>
      </c>
      <c r="AB68" s="8" t="s">
        <v>5711</v>
      </c>
      <c r="AC68" s="9"/>
      <c r="AD68" s="10">
        <v>1</v>
      </c>
      <c r="AE68" s="31" t="s">
        <v>5795</v>
      </c>
    </row>
    <row r="69" spans="1:31" ht="12.75">
      <c r="A69" s="4" t="s">
        <v>5796</v>
      </c>
      <c r="B69" s="1" t="s">
        <v>5262</v>
      </c>
      <c r="C69" s="1" t="s">
        <v>5797</v>
      </c>
      <c r="D69" s="1" t="s">
        <v>5797</v>
      </c>
      <c r="E69" s="2">
        <v>940</v>
      </c>
      <c r="F69" s="2">
        <v>54</v>
      </c>
      <c r="G69" s="3" t="s">
        <v>5592</v>
      </c>
      <c r="H69" s="3" t="s">
        <v>5798</v>
      </c>
      <c r="I69" s="3" t="s">
        <v>5799</v>
      </c>
      <c r="J69" s="44" t="str">
        <f>HYPERLINK("https://www.centcols.org/util/geo/visuGen.php?code=FR-05-0900","FR-05-0900")</f>
        <v>FR-05-0900</v>
      </c>
      <c r="K69" s="3"/>
      <c r="L69" s="1"/>
      <c r="M69" s="8">
        <v>99</v>
      </c>
      <c r="N69" s="8">
        <v>20</v>
      </c>
      <c r="O69" s="4"/>
      <c r="P69" s="3"/>
      <c r="Q69" s="3" t="s">
        <v>5800</v>
      </c>
      <c r="R69" s="3" t="s">
        <v>5801</v>
      </c>
      <c r="S69" s="25">
        <v>6.190190005181716</v>
      </c>
      <c r="T69" s="25">
        <v>44.52949649935906</v>
      </c>
      <c r="U69" s="2">
        <v>32</v>
      </c>
      <c r="V69" s="3">
        <v>276737</v>
      </c>
      <c r="W69" s="3">
        <v>4934526</v>
      </c>
      <c r="X69" s="25">
        <v>4.281652807955709</v>
      </c>
      <c r="Y69" s="25">
        <v>49.477216750427225</v>
      </c>
      <c r="Z69" s="6"/>
      <c r="AA69" s="7" t="s">
        <v>5176</v>
      </c>
      <c r="AB69" s="8" t="s">
        <v>5802</v>
      </c>
      <c r="AC69" s="9"/>
      <c r="AD69" s="10">
        <v>1</v>
      </c>
      <c r="AE69" s="31" t="s">
        <v>5803</v>
      </c>
    </row>
    <row r="70" spans="1:31" ht="12.75">
      <c r="A70" s="4" t="s">
        <v>5804</v>
      </c>
      <c r="B70" s="1" t="s">
        <v>5589</v>
      </c>
      <c r="C70" s="1" t="s">
        <v>5805</v>
      </c>
      <c r="D70" s="1" t="s">
        <v>5806</v>
      </c>
      <c r="E70" s="2">
        <v>905</v>
      </c>
      <c r="F70" s="2">
        <v>60</v>
      </c>
      <c r="G70" s="3" t="s">
        <v>5807</v>
      </c>
      <c r="H70" s="3" t="s">
        <v>5808</v>
      </c>
      <c r="I70" s="3" t="s">
        <v>5809</v>
      </c>
      <c r="J70" s="44" t="str">
        <f>HYPERLINK("https://www.centcols.org/util/geo/visuGen.php?code=FR-05-0905","FR-05-0905")</f>
        <v>FR-05-0905</v>
      </c>
      <c r="K70" s="3" t="s">
        <v>5810</v>
      </c>
      <c r="L70" s="1" t="s">
        <v>5157</v>
      </c>
      <c r="M70" s="8">
        <v>0</v>
      </c>
      <c r="N70" s="8">
        <v>0</v>
      </c>
      <c r="O70" s="4"/>
      <c r="P70" s="3"/>
      <c r="Q70" s="3" t="s">
        <v>5811</v>
      </c>
      <c r="R70" s="3" t="s">
        <v>5812</v>
      </c>
      <c r="S70" s="25">
        <v>5.659404921413345</v>
      </c>
      <c r="T70" s="25">
        <v>44.47775840824606</v>
      </c>
      <c r="U70" s="2">
        <v>31</v>
      </c>
      <c r="V70" s="3">
        <v>711499</v>
      </c>
      <c r="W70" s="3">
        <v>4928379</v>
      </c>
      <c r="X70" s="25">
        <v>3.691912044049577</v>
      </c>
      <c r="Y70" s="25">
        <v>49.41973133638419</v>
      </c>
      <c r="Z70" s="6"/>
      <c r="AA70" s="7" t="s">
        <v>5138</v>
      </c>
      <c r="AB70" s="8">
        <v>2007</v>
      </c>
      <c r="AC70" s="9"/>
      <c r="AD70" s="10">
        <v>1</v>
      </c>
      <c r="AE70" s="31" t="s">
        <v>5813</v>
      </c>
    </row>
    <row r="71" spans="1:31" ht="12.75">
      <c r="A71" s="4" t="s">
        <v>5814</v>
      </c>
      <c r="B71" s="1" t="s">
        <v>5815</v>
      </c>
      <c r="C71" s="1" t="s">
        <v>5816</v>
      </c>
      <c r="D71" s="1" t="s">
        <v>5817</v>
      </c>
      <c r="E71" s="2">
        <v>921</v>
      </c>
      <c r="F71" s="2">
        <v>54</v>
      </c>
      <c r="G71" s="3" t="s">
        <v>5818</v>
      </c>
      <c r="H71" s="3" t="s">
        <v>5819</v>
      </c>
      <c r="I71" s="3" t="s">
        <v>5820</v>
      </c>
      <c r="J71" s="44" t="str">
        <f>HYPERLINK("https://www.centcols.org/util/geo/visuGen.php?code=FR-05-0921","FR-05-0921")</f>
        <v>FR-05-0921</v>
      </c>
      <c r="K71" s="3" t="s">
        <v>5821</v>
      </c>
      <c r="L71" s="1" t="s">
        <v>5157</v>
      </c>
      <c r="M71" s="8">
        <v>0</v>
      </c>
      <c r="N71" s="8">
        <v>0</v>
      </c>
      <c r="O71" s="4"/>
      <c r="P71" s="3"/>
      <c r="Q71" s="3" t="s">
        <v>5822</v>
      </c>
      <c r="R71" s="3" t="s">
        <v>5823</v>
      </c>
      <c r="S71" s="25">
        <v>5.927080723500741</v>
      </c>
      <c r="T71" s="25">
        <v>44.5637515647933</v>
      </c>
      <c r="U71" s="2">
        <v>31</v>
      </c>
      <c r="V71" s="3">
        <v>732444</v>
      </c>
      <c r="W71" s="3">
        <v>4938659</v>
      </c>
      <c r="X71" s="25">
        <v>3.9893202209987497</v>
      </c>
      <c r="Y71" s="25">
        <v>49.51528022724692</v>
      </c>
      <c r="Z71" s="6"/>
      <c r="AA71" s="7" t="s">
        <v>5138</v>
      </c>
      <c r="AB71" s="8">
        <v>2005</v>
      </c>
      <c r="AC71" s="9"/>
      <c r="AD71" s="10">
        <v>1</v>
      </c>
      <c r="AE71" s="31" t="s">
        <v>5824</v>
      </c>
    </row>
    <row r="72" spans="1:31" ht="12.75">
      <c r="A72" s="4" t="s">
        <v>5825</v>
      </c>
      <c r="B72" s="1" t="s">
        <v>5589</v>
      </c>
      <c r="C72" s="1" t="s">
        <v>5826</v>
      </c>
      <c r="D72" s="1" t="s">
        <v>5827</v>
      </c>
      <c r="E72" s="2">
        <v>1030</v>
      </c>
      <c r="F72" s="2">
        <v>60</v>
      </c>
      <c r="G72" s="3" t="s">
        <v>5828</v>
      </c>
      <c r="H72" s="3" t="s">
        <v>5829</v>
      </c>
      <c r="I72" s="3" t="s">
        <v>5830</v>
      </c>
      <c r="J72" s="44" t="str">
        <f>HYPERLINK("https://www.centcols.org/util/geo/visuGen.php?code=FR-05-1030","FR-05-1030")</f>
        <v>FR-05-1030</v>
      </c>
      <c r="K72" s="3"/>
      <c r="L72" s="1" t="s">
        <v>5726</v>
      </c>
      <c r="M72" s="8">
        <v>99</v>
      </c>
      <c r="N72" s="8">
        <v>15</v>
      </c>
      <c r="O72" s="4"/>
      <c r="P72" s="3"/>
      <c r="Q72" s="3" t="s">
        <v>5831</v>
      </c>
      <c r="R72" s="3" t="s">
        <v>5832</v>
      </c>
      <c r="S72" s="25">
        <v>5.8724799467057105</v>
      </c>
      <c r="T72" s="25">
        <v>44.42120184887394</v>
      </c>
      <c r="U72" s="2">
        <v>31</v>
      </c>
      <c r="V72" s="3">
        <v>728665</v>
      </c>
      <c r="W72" s="3">
        <v>4922670</v>
      </c>
      <c r="X72" s="25">
        <v>3.928652670584458</v>
      </c>
      <c r="Y72" s="25">
        <v>49.35688832087671</v>
      </c>
      <c r="Z72" s="6"/>
      <c r="AA72" s="7" t="s">
        <v>5176</v>
      </c>
      <c r="AB72" s="8" t="s">
        <v>5833</v>
      </c>
      <c r="AC72" s="9"/>
      <c r="AD72" s="10">
        <v>1</v>
      </c>
      <c r="AE72" s="31" t="s">
        <v>5834</v>
      </c>
    </row>
    <row r="73" spans="1:31" ht="12.75">
      <c r="A73" s="4" t="s">
        <v>5835</v>
      </c>
      <c r="B73" s="1" t="s">
        <v>5612</v>
      </c>
      <c r="C73" s="1" t="s">
        <v>5722</v>
      </c>
      <c r="D73" s="1" t="s">
        <v>5694</v>
      </c>
      <c r="E73" s="2">
        <v>1069</v>
      </c>
      <c r="F73" s="2">
        <v>60</v>
      </c>
      <c r="G73" s="3" t="s">
        <v>5828</v>
      </c>
      <c r="H73" s="3" t="s">
        <v>5836</v>
      </c>
      <c r="I73" s="3" t="s">
        <v>5837</v>
      </c>
      <c r="J73" s="44" t="str">
        <f>HYPERLINK("https://www.centcols.org/util/geo/visuGen.php?code=FR-05-1069","FR-05-1069")</f>
        <v>FR-05-1069</v>
      </c>
      <c r="K73" s="3"/>
      <c r="L73" s="1" t="s">
        <v>5176</v>
      </c>
      <c r="M73" s="8">
        <v>99</v>
      </c>
      <c r="N73" s="8">
        <v>15</v>
      </c>
      <c r="O73" s="4"/>
      <c r="P73" s="3"/>
      <c r="Q73" s="3" t="s">
        <v>5838</v>
      </c>
      <c r="R73" s="3" t="s">
        <v>5839</v>
      </c>
      <c r="S73" s="25">
        <v>5.91021313492897</v>
      </c>
      <c r="T73" s="25">
        <v>44.40510467032484</v>
      </c>
      <c r="U73" s="2">
        <v>31</v>
      </c>
      <c r="V73" s="3">
        <v>731733</v>
      </c>
      <c r="W73" s="3">
        <v>4920988</v>
      </c>
      <c r="X73" s="25">
        <v>3.97057650363024</v>
      </c>
      <c r="Y73" s="25">
        <v>49.33900219536321</v>
      </c>
      <c r="Z73" s="6"/>
      <c r="AA73" s="7" t="s">
        <v>5176</v>
      </c>
      <c r="AB73" s="8" t="s">
        <v>5833</v>
      </c>
      <c r="AC73" s="9"/>
      <c r="AD73" s="10">
        <v>1</v>
      </c>
      <c r="AE73" s="31" t="s">
        <v>5840</v>
      </c>
    </row>
    <row r="74" spans="1:31" ht="12.75">
      <c r="A74" s="4" t="s">
        <v>5841</v>
      </c>
      <c r="B74" s="1" t="s">
        <v>5574</v>
      </c>
      <c r="C74" s="1" t="s">
        <v>5842</v>
      </c>
      <c r="D74" s="1" t="s">
        <v>5843</v>
      </c>
      <c r="E74" s="2">
        <v>1078</v>
      </c>
      <c r="F74" s="2">
        <v>60</v>
      </c>
      <c r="G74" s="3" t="s">
        <v>5828</v>
      </c>
      <c r="H74" s="3" t="s">
        <v>5844</v>
      </c>
      <c r="I74" s="3" t="s">
        <v>5845</v>
      </c>
      <c r="J74" s="44" t="str">
        <f>HYPERLINK("https://www.centcols.org/util/geo/visuGen.php?code=FR-05-1078","FR-05-1078")</f>
        <v>FR-05-1078</v>
      </c>
      <c r="K74" s="3"/>
      <c r="L74" s="1"/>
      <c r="M74" s="8">
        <v>99</v>
      </c>
      <c r="N74" s="8">
        <v>20</v>
      </c>
      <c r="O74" s="4"/>
      <c r="P74" s="3"/>
      <c r="Q74" s="3" t="s">
        <v>5846</v>
      </c>
      <c r="R74" s="3" t="s">
        <v>5847</v>
      </c>
      <c r="S74" s="25">
        <v>5.893703971050356</v>
      </c>
      <c r="T74" s="25">
        <v>44.41136506867341</v>
      </c>
      <c r="U74" s="2">
        <v>31</v>
      </c>
      <c r="V74" s="3">
        <v>730393</v>
      </c>
      <c r="W74" s="3">
        <v>4921637</v>
      </c>
      <c r="X74" s="25">
        <v>3.9522338112902373</v>
      </c>
      <c r="Y74" s="25">
        <v>49.345958327824455</v>
      </c>
      <c r="Z74" s="6"/>
      <c r="AA74" s="7" t="s">
        <v>5176</v>
      </c>
      <c r="AB74" s="8" t="s">
        <v>5833</v>
      </c>
      <c r="AC74" s="9">
        <v>40937</v>
      </c>
      <c r="AD74" s="10">
        <v>1</v>
      </c>
      <c r="AE74" s="31" t="s">
        <v>5834</v>
      </c>
    </row>
    <row r="75" spans="1:31" ht="12.75">
      <c r="A75" s="4" t="s">
        <v>5848</v>
      </c>
      <c r="B75" s="1" t="s">
        <v>5574</v>
      </c>
      <c r="C75" s="1" t="s">
        <v>5849</v>
      </c>
      <c r="D75" s="1" t="s">
        <v>5850</v>
      </c>
      <c r="E75" s="2">
        <v>1150</v>
      </c>
      <c r="F75" s="2">
        <v>60</v>
      </c>
      <c r="G75" s="3" t="s">
        <v>5828</v>
      </c>
      <c r="H75" s="3" t="s">
        <v>5851</v>
      </c>
      <c r="I75" s="3" t="s">
        <v>5852</v>
      </c>
      <c r="J75" s="44" t="str">
        <f>HYPERLINK("https://www.centcols.org/util/geo/visuGen.php?code=FR-05-1128","FR-05-1128")</f>
        <v>FR-05-1128</v>
      </c>
      <c r="K75" s="3"/>
      <c r="L75" s="1" t="s">
        <v>5726</v>
      </c>
      <c r="M75" s="8">
        <v>99</v>
      </c>
      <c r="N75" s="8">
        <v>15</v>
      </c>
      <c r="O75" s="4"/>
      <c r="P75" s="3"/>
      <c r="Q75" s="3" t="s">
        <v>5853</v>
      </c>
      <c r="R75" s="3" t="s">
        <v>7027</v>
      </c>
      <c r="S75" s="25">
        <v>5.879797012897314</v>
      </c>
      <c r="T75" s="25">
        <v>44.417845497834065</v>
      </c>
      <c r="U75" s="2">
        <v>31</v>
      </c>
      <c r="V75" s="3">
        <v>729261</v>
      </c>
      <c r="W75" s="3">
        <v>4922318</v>
      </c>
      <c r="X75" s="25">
        <v>3.93678236776657</v>
      </c>
      <c r="Y75" s="25">
        <v>49.35315895854541</v>
      </c>
      <c r="Z75" s="6"/>
      <c r="AA75" s="7" t="s">
        <v>5176</v>
      </c>
      <c r="AB75" s="8" t="s">
        <v>5833</v>
      </c>
      <c r="AC75" s="9">
        <v>40937</v>
      </c>
      <c r="AD75" s="10">
        <v>1</v>
      </c>
      <c r="AE75" s="31" t="s">
        <v>5834</v>
      </c>
    </row>
    <row r="76" spans="1:31" ht="12.75">
      <c r="A76" s="4" t="s">
        <v>5854</v>
      </c>
      <c r="B76" s="1" t="s">
        <v>5589</v>
      </c>
      <c r="C76" s="1" t="s">
        <v>5805</v>
      </c>
      <c r="D76" s="1" t="s">
        <v>5806</v>
      </c>
      <c r="E76" s="2">
        <v>1215</v>
      </c>
      <c r="F76" s="2">
        <v>54</v>
      </c>
      <c r="G76" s="3" t="s">
        <v>5818</v>
      </c>
      <c r="H76" s="3" t="s">
        <v>5855</v>
      </c>
      <c r="I76" s="3" t="s">
        <v>5856</v>
      </c>
      <c r="J76" s="44" t="str">
        <f>HYPERLINK("https://www.centcols.org/util/geo/visuGen.php?code=FR-05-1215","FR-05-1215")</f>
        <v>FR-05-1215</v>
      </c>
      <c r="K76" s="3" t="s">
        <v>5857</v>
      </c>
      <c r="L76" s="1" t="s">
        <v>5157</v>
      </c>
      <c r="M76" s="8">
        <v>0</v>
      </c>
      <c r="N76" s="8">
        <v>0</v>
      </c>
      <c r="O76" s="4"/>
      <c r="P76" s="3"/>
      <c r="Q76" s="3" t="s">
        <v>5858</v>
      </c>
      <c r="R76" s="3" t="s">
        <v>5859</v>
      </c>
      <c r="S76" s="25">
        <v>5.847888071050315</v>
      </c>
      <c r="T76" s="25">
        <v>44.639142180112636</v>
      </c>
      <c r="U76" s="2">
        <v>31</v>
      </c>
      <c r="V76" s="3">
        <v>725863</v>
      </c>
      <c r="W76" s="3">
        <v>4946811</v>
      </c>
      <c r="X76" s="25">
        <v>3.9013320295423983</v>
      </c>
      <c r="Y76" s="25">
        <v>49.59905015149792</v>
      </c>
      <c r="Z76" s="6"/>
      <c r="AA76" s="7" t="s">
        <v>5138</v>
      </c>
      <c r="AB76" s="8">
        <v>2008</v>
      </c>
      <c r="AC76" s="9"/>
      <c r="AD76" s="10">
        <v>1</v>
      </c>
      <c r="AE76" s="31" t="s">
        <v>5149</v>
      </c>
    </row>
    <row r="77" spans="1:31" ht="12.75">
      <c r="A77" s="4" t="s">
        <v>5860</v>
      </c>
      <c r="B77" s="1" t="s">
        <v>5612</v>
      </c>
      <c r="C77" s="1" t="s">
        <v>5861</v>
      </c>
      <c r="D77" s="1" t="s">
        <v>5862</v>
      </c>
      <c r="E77" s="2">
        <v>1245</v>
      </c>
      <c r="F77" s="2">
        <v>54</v>
      </c>
      <c r="G77" s="3" t="s">
        <v>5863</v>
      </c>
      <c r="H77" s="3" t="s">
        <v>5864</v>
      </c>
      <c r="I77" s="3" t="s">
        <v>5865</v>
      </c>
      <c r="J77" s="44" t="str">
        <f>HYPERLINK("https://www.centcols.org/util/geo/visuGen.php?code=FR-05-1245a","FR-05-1245a")</f>
        <v>FR-05-1245a</v>
      </c>
      <c r="K77" s="3"/>
      <c r="L77" s="1"/>
      <c r="M77" s="8">
        <v>99</v>
      </c>
      <c r="N77" s="8">
        <v>20</v>
      </c>
      <c r="O77" s="4"/>
      <c r="P77" s="3"/>
      <c r="Q77" s="3" t="s">
        <v>5866</v>
      </c>
      <c r="R77" s="3" t="s">
        <v>5867</v>
      </c>
      <c r="S77" s="25">
        <v>6.56483</v>
      </c>
      <c r="T77" s="25">
        <v>44.609516</v>
      </c>
      <c r="U77" s="2">
        <v>32</v>
      </c>
      <c r="V77" s="3">
        <v>306771</v>
      </c>
      <c r="W77" s="3">
        <v>4942459</v>
      </c>
      <c r="X77" s="25">
        <v>4.697906</v>
      </c>
      <c r="Y77" s="25">
        <v>49.566128</v>
      </c>
      <c r="Z77" s="6"/>
      <c r="AA77" s="7" t="s">
        <v>5138</v>
      </c>
      <c r="AB77" s="8">
        <v>2017</v>
      </c>
      <c r="AC77" s="9"/>
      <c r="AD77" s="10"/>
      <c r="AE77" s="31" t="s">
        <v>5868</v>
      </c>
    </row>
    <row r="78" spans="1:31" ht="12.75">
      <c r="A78" s="4" t="s">
        <v>5869</v>
      </c>
      <c r="B78" s="1" t="s">
        <v>5589</v>
      </c>
      <c r="C78" s="1" t="s">
        <v>5805</v>
      </c>
      <c r="D78" s="1" t="s">
        <v>5806</v>
      </c>
      <c r="E78" s="2">
        <v>1255</v>
      </c>
      <c r="F78" s="2">
        <v>54</v>
      </c>
      <c r="G78" s="3" t="s">
        <v>5870</v>
      </c>
      <c r="H78" s="3" t="s">
        <v>5871</v>
      </c>
      <c r="I78" s="3" t="s">
        <v>5872</v>
      </c>
      <c r="J78" s="44" t="str">
        <f>HYPERLINK("https://www.centcols.org/util/geo/visuGen.php?code=FR-05-1255","FR-05-1255")</f>
        <v>FR-05-1255</v>
      </c>
      <c r="K78" s="3" t="s">
        <v>5873</v>
      </c>
      <c r="L78" s="1" t="s">
        <v>5157</v>
      </c>
      <c r="M78" s="8">
        <v>0</v>
      </c>
      <c r="N78" s="8">
        <v>0</v>
      </c>
      <c r="O78" s="4"/>
      <c r="P78" s="3"/>
      <c r="Q78" s="3" t="s">
        <v>5874</v>
      </c>
      <c r="R78" s="3" t="s">
        <v>5875</v>
      </c>
      <c r="S78" s="25">
        <v>6.641552901016539</v>
      </c>
      <c r="T78" s="25">
        <v>44.64254651614519</v>
      </c>
      <c r="U78" s="2">
        <v>32</v>
      </c>
      <c r="V78" s="3">
        <v>312965</v>
      </c>
      <c r="W78" s="3">
        <v>4945949</v>
      </c>
      <c r="X78" s="25">
        <v>4.783150427158409</v>
      </c>
      <c r="Y78" s="25">
        <v>49.60282925899013</v>
      </c>
      <c r="Z78" s="6"/>
      <c r="AA78" s="7" t="s">
        <v>5138</v>
      </c>
      <c r="AB78" s="8" t="s">
        <v>5571</v>
      </c>
      <c r="AC78" s="9">
        <v>41215</v>
      </c>
      <c r="AD78" s="10">
        <v>1</v>
      </c>
      <c r="AE78" s="31" t="s">
        <v>5876</v>
      </c>
    </row>
    <row r="79" spans="1:31" ht="12.75">
      <c r="A79" s="18" t="s">
        <v>5877</v>
      </c>
      <c r="B79" s="20" t="s">
        <v>5815</v>
      </c>
      <c r="C79" s="20" t="s">
        <v>5878</v>
      </c>
      <c r="D79" s="20" t="s">
        <v>5879</v>
      </c>
      <c r="E79" s="19">
        <v>1630</v>
      </c>
      <c r="F79" s="14">
        <v>54</v>
      </c>
      <c r="G79" s="19" t="s">
        <v>5880</v>
      </c>
      <c r="H79" s="19" t="s">
        <v>5881</v>
      </c>
      <c r="I79" s="19" t="s">
        <v>5882</v>
      </c>
      <c r="J79" s="44" t="str">
        <f>HYPERLINK("https://www.centcols.org/util/geo/visuGen.php?code=FR-05-1630","FR-05-1630")</f>
        <v>FR-05-1630</v>
      </c>
      <c r="K79" s="19"/>
      <c r="L79" s="20" t="s">
        <v>5176</v>
      </c>
      <c r="M79" s="19">
        <v>99</v>
      </c>
      <c r="N79" s="19">
        <v>15</v>
      </c>
      <c r="O79" s="18"/>
      <c r="P79" s="19"/>
      <c r="Q79" s="19" t="s">
        <v>5883</v>
      </c>
      <c r="R79" s="19" t="s">
        <v>5884</v>
      </c>
      <c r="S79" s="59">
        <v>5.988146</v>
      </c>
      <c r="T79" s="59">
        <v>44.590778</v>
      </c>
      <c r="U79" s="19">
        <v>31</v>
      </c>
      <c r="V79" s="3">
        <v>737184</v>
      </c>
      <c r="W79" s="3">
        <v>4941837</v>
      </c>
      <c r="X79" s="59">
        <v>4.057169</v>
      </c>
      <c r="Y79" s="59">
        <v>49.54531</v>
      </c>
      <c r="Z79" s="23"/>
      <c r="AA79" s="7" t="s">
        <v>5138</v>
      </c>
      <c r="AB79" s="54">
        <v>2018</v>
      </c>
      <c r="AC79" s="57">
        <v>43199</v>
      </c>
      <c r="AD79" s="11"/>
      <c r="AE79" s="23" t="s">
        <v>5885</v>
      </c>
    </row>
    <row r="80" spans="1:31" ht="12.75">
      <c r="A80" s="18" t="s">
        <v>5886</v>
      </c>
      <c r="B80" s="20" t="s">
        <v>5815</v>
      </c>
      <c r="C80" s="20" t="s">
        <v>5887</v>
      </c>
      <c r="D80" s="20" t="s">
        <v>5888</v>
      </c>
      <c r="E80" s="19">
        <v>1811</v>
      </c>
      <c r="F80" s="14">
        <v>54</v>
      </c>
      <c r="G80" s="19" t="s">
        <v>5818</v>
      </c>
      <c r="H80" s="19" t="s">
        <v>5889</v>
      </c>
      <c r="I80" s="19" t="s">
        <v>5890</v>
      </c>
      <c r="J80" s="44" t="str">
        <f>HYPERLINK("https://www.centcols.org/util/geo/visuGen.php?code=FR-05-1811","FR-05-1811")</f>
        <v>FR-05-1811</v>
      </c>
      <c r="K80" s="19"/>
      <c r="L80" s="20" t="s">
        <v>5176</v>
      </c>
      <c r="M80" s="19">
        <v>99</v>
      </c>
      <c r="N80" s="19">
        <v>15</v>
      </c>
      <c r="O80" s="18"/>
      <c r="P80" s="19"/>
      <c r="Q80" s="19" t="s">
        <v>5891</v>
      </c>
      <c r="R80" s="19" t="s">
        <v>5892</v>
      </c>
      <c r="S80" s="59">
        <v>5.921816</v>
      </c>
      <c r="T80" s="59">
        <v>44.522483</v>
      </c>
      <c r="U80" s="19">
        <v>31</v>
      </c>
      <c r="V80" s="3">
        <v>732190</v>
      </c>
      <c r="W80" s="3">
        <v>4934060</v>
      </c>
      <c r="X80" s="59">
        <v>3.98347</v>
      </c>
      <c r="Y80" s="59">
        <v>49.469426</v>
      </c>
      <c r="Z80" s="23"/>
      <c r="AA80" s="7" t="s">
        <v>5138</v>
      </c>
      <c r="AB80" s="54">
        <v>2018</v>
      </c>
      <c r="AC80" s="57">
        <v>43199</v>
      </c>
      <c r="AD80" s="11"/>
      <c r="AE80" s="23" t="s">
        <v>5893</v>
      </c>
    </row>
    <row r="81" spans="1:31" ht="12.75">
      <c r="A81" s="4" t="s">
        <v>5894</v>
      </c>
      <c r="B81" s="1" t="s">
        <v>5704</v>
      </c>
      <c r="C81" s="1" t="s">
        <v>5895</v>
      </c>
      <c r="D81" s="1" t="s">
        <v>5896</v>
      </c>
      <c r="E81" s="2">
        <v>2055</v>
      </c>
      <c r="F81" s="2">
        <v>54</v>
      </c>
      <c r="G81" s="3" t="s">
        <v>5897</v>
      </c>
      <c r="H81" s="3" t="s">
        <v>5898</v>
      </c>
      <c r="I81" s="3" t="s">
        <v>5899</v>
      </c>
      <c r="J81" s="44" t="str">
        <f>HYPERLINK("https://www.centcols.org/util/geo/visuGen.php?code=FR-05-2055","FR-05-2055")</f>
        <v>FR-05-2055</v>
      </c>
      <c r="K81" s="3"/>
      <c r="L81" s="1" t="s">
        <v>5661</v>
      </c>
      <c r="M81" s="8">
        <v>2</v>
      </c>
      <c r="N81" s="8">
        <v>15</v>
      </c>
      <c r="O81" s="4"/>
      <c r="P81" s="3"/>
      <c r="Q81" s="3" t="s">
        <v>5900</v>
      </c>
      <c r="R81" s="3" t="s">
        <v>5901</v>
      </c>
      <c r="S81" s="25">
        <v>6.141724</v>
      </c>
      <c r="T81" s="25">
        <v>44.716589</v>
      </c>
      <c r="U81" s="2">
        <v>32</v>
      </c>
      <c r="V81" s="3">
        <v>273615</v>
      </c>
      <c r="W81" s="3">
        <v>4955443</v>
      </c>
      <c r="X81" s="25">
        <v>4.227806</v>
      </c>
      <c r="Y81" s="25">
        <v>49.685102</v>
      </c>
      <c r="Z81" s="6"/>
      <c r="AA81" s="7" t="s">
        <v>5176</v>
      </c>
      <c r="AB81" s="8" t="s">
        <v>5711</v>
      </c>
      <c r="AC81" s="9"/>
      <c r="AD81" s="10">
        <v>1</v>
      </c>
      <c r="AE81" s="31" t="s">
        <v>5902</v>
      </c>
    </row>
    <row r="82" spans="1:31" ht="12.75">
      <c r="A82" s="50" t="s">
        <v>1085</v>
      </c>
      <c r="B82" s="55" t="s">
        <v>1086</v>
      </c>
      <c r="C82" s="55" t="s">
        <v>1087</v>
      </c>
      <c r="D82" s="55" t="s">
        <v>1088</v>
      </c>
      <c r="E82" s="58">
        <v>2201</v>
      </c>
      <c r="F82" s="47">
        <v>54</v>
      </c>
      <c r="G82" s="47" t="s">
        <v>1089</v>
      </c>
      <c r="H82" s="47" t="s">
        <v>1090</v>
      </c>
      <c r="I82" s="47" t="s">
        <v>1091</v>
      </c>
      <c r="J82" s="44" t="str">
        <f>HYPERLINK("https://www.centcols.org/util/geo/visuGen.php?code=FR-05-2201","FR-05-2201")</f>
        <v>FR-05-2201</v>
      </c>
      <c r="K82" s="48"/>
      <c r="L82" s="55" t="s">
        <v>1092</v>
      </c>
      <c r="M82" s="58">
        <v>99</v>
      </c>
      <c r="N82" s="58">
        <v>20</v>
      </c>
      <c r="O82" s="48"/>
      <c r="P82" s="58"/>
      <c r="Q82" s="47" t="s">
        <v>1093</v>
      </c>
      <c r="R82" s="47" t="s">
        <v>6947</v>
      </c>
      <c r="S82" s="116">
        <v>6.76573</v>
      </c>
      <c r="T82" s="116">
        <v>44.97052</v>
      </c>
      <c r="U82" s="47">
        <v>32</v>
      </c>
      <c r="V82" s="3">
        <v>323815</v>
      </c>
      <c r="W82" s="3">
        <v>4982104</v>
      </c>
      <c r="X82" s="115">
        <v>4.921119</v>
      </c>
      <c r="Y82" s="115">
        <v>49.967255</v>
      </c>
      <c r="Z82" s="48"/>
      <c r="AA82" s="7" t="s">
        <v>5138</v>
      </c>
      <c r="AB82" s="49">
        <v>2020</v>
      </c>
      <c r="AE82" s="34" t="s">
        <v>1140</v>
      </c>
    </row>
    <row r="83" spans="1:31" ht="12.75">
      <c r="A83" s="4" t="s">
        <v>5903</v>
      </c>
      <c r="B83" s="1" t="s">
        <v>5904</v>
      </c>
      <c r="C83" s="1" t="s">
        <v>5905</v>
      </c>
      <c r="D83" s="1" t="s">
        <v>5906</v>
      </c>
      <c r="E83" s="2">
        <v>2430</v>
      </c>
      <c r="F83" s="2">
        <v>54</v>
      </c>
      <c r="G83" s="3" t="s">
        <v>5863</v>
      </c>
      <c r="H83" s="3" t="s">
        <v>5907</v>
      </c>
      <c r="I83" s="3" t="s">
        <v>5908</v>
      </c>
      <c r="J83" s="44" t="str">
        <f>HYPERLINK("https://www.centcols.org/util/geo/visuGen.php?code=FR-05-2429","FR-05-2429")</f>
        <v>FR-05-2429</v>
      </c>
      <c r="K83" s="3"/>
      <c r="L83" s="1"/>
      <c r="M83" s="8">
        <v>99</v>
      </c>
      <c r="N83" s="8">
        <v>20</v>
      </c>
      <c r="O83" s="4"/>
      <c r="P83" s="3"/>
      <c r="Q83" s="3" t="s">
        <v>5909</v>
      </c>
      <c r="R83" s="3" t="s">
        <v>5910</v>
      </c>
      <c r="S83" s="25">
        <v>6.590469181803698</v>
      </c>
      <c r="T83" s="25">
        <v>44.569976215342386</v>
      </c>
      <c r="U83" s="2">
        <v>32</v>
      </c>
      <c r="V83" s="3">
        <v>308676</v>
      </c>
      <c r="W83" s="3">
        <v>4938006</v>
      </c>
      <c r="X83" s="25">
        <v>4.726392620815624</v>
      </c>
      <c r="Y83" s="25">
        <v>49.522194114965586</v>
      </c>
      <c r="Z83" s="6"/>
      <c r="AA83" s="7" t="s">
        <v>5176</v>
      </c>
      <c r="AB83" s="8" t="s">
        <v>5911</v>
      </c>
      <c r="AC83" s="9"/>
      <c r="AD83" s="10">
        <v>1</v>
      </c>
      <c r="AE83" s="31" t="s">
        <v>5912</v>
      </c>
    </row>
    <row r="84" spans="1:31" ht="12.75">
      <c r="A84" s="4" t="s">
        <v>5913</v>
      </c>
      <c r="B84" s="1" t="s">
        <v>5574</v>
      </c>
      <c r="C84" s="1" t="s">
        <v>5914</v>
      </c>
      <c r="D84" s="1" t="s">
        <v>5915</v>
      </c>
      <c r="E84" s="2">
        <v>2600</v>
      </c>
      <c r="F84" s="2">
        <v>54</v>
      </c>
      <c r="G84" s="3" t="s">
        <v>5916</v>
      </c>
      <c r="H84" s="3" t="s">
        <v>5917</v>
      </c>
      <c r="I84" s="3" t="s">
        <v>5918</v>
      </c>
      <c r="J84" s="44" t="str">
        <f>HYPERLINK("https://www.centcols.org/util/geo/visuGen.php?code=FR-05-2600a","FR-05-2600a")</f>
        <v>FR-05-2600a</v>
      </c>
      <c r="K84" s="3"/>
      <c r="L84" s="1" t="s">
        <v>5176</v>
      </c>
      <c r="M84" s="8">
        <v>99</v>
      </c>
      <c r="N84" s="8">
        <v>15</v>
      </c>
      <c r="O84" s="4"/>
      <c r="P84" s="3"/>
      <c r="Q84" s="3" t="s">
        <v>5919</v>
      </c>
      <c r="R84" s="3" t="s">
        <v>5920</v>
      </c>
      <c r="S84" s="25">
        <v>6.895032879839367</v>
      </c>
      <c r="T84" s="25">
        <v>44.743502455424675</v>
      </c>
      <c r="U84" s="2">
        <v>32</v>
      </c>
      <c r="V84" s="3">
        <v>333357</v>
      </c>
      <c r="W84" s="3">
        <v>4956613</v>
      </c>
      <c r="X84" s="25">
        <v>5.064778828693674</v>
      </c>
      <c r="Y84" s="25">
        <v>49.715</v>
      </c>
      <c r="Z84" s="6"/>
      <c r="AA84" s="7" t="s">
        <v>5176</v>
      </c>
      <c r="AB84" s="8" t="s">
        <v>5802</v>
      </c>
      <c r="AC84" s="9"/>
      <c r="AD84" s="10">
        <v>1</v>
      </c>
      <c r="AE84" s="31" t="s">
        <v>5921</v>
      </c>
    </row>
    <row r="85" spans="1:31" ht="12.75">
      <c r="A85" s="4" t="s">
        <v>5922</v>
      </c>
      <c r="B85" s="1" t="s">
        <v>5923</v>
      </c>
      <c r="C85" s="1" t="s">
        <v>5924</v>
      </c>
      <c r="D85" s="1" t="s">
        <v>5925</v>
      </c>
      <c r="E85" s="2">
        <v>2695</v>
      </c>
      <c r="F85" s="2">
        <v>54</v>
      </c>
      <c r="G85" s="3" t="s">
        <v>5926</v>
      </c>
      <c r="H85" s="3" t="s">
        <v>5927</v>
      </c>
      <c r="I85" s="3" t="s">
        <v>5928</v>
      </c>
      <c r="J85" s="44" t="str">
        <f>HYPERLINK("https://www.centcols.org/util/geo/visuGen.php?code=FR-05-2695a","FR-05-2695a")</f>
        <v>FR-05-2695a</v>
      </c>
      <c r="K85" s="3"/>
      <c r="L85" s="1" t="s">
        <v>5929</v>
      </c>
      <c r="M85" s="8">
        <v>40</v>
      </c>
      <c r="N85" s="8">
        <v>20</v>
      </c>
      <c r="O85" s="4"/>
      <c r="P85" s="3" t="s">
        <v>5930</v>
      </c>
      <c r="Q85" s="3" t="s">
        <v>5931</v>
      </c>
      <c r="R85" s="3" t="s">
        <v>5932</v>
      </c>
      <c r="S85" s="25">
        <v>6.412871</v>
      </c>
      <c r="T85" s="25">
        <v>45.063541</v>
      </c>
      <c r="U85" s="2">
        <v>32</v>
      </c>
      <c r="V85" s="3">
        <v>296320</v>
      </c>
      <c r="W85" s="3">
        <v>4993265</v>
      </c>
      <c r="X85" s="25">
        <v>4.54272</v>
      </c>
      <c r="Y85" s="25">
        <v>50.067667</v>
      </c>
      <c r="Z85" s="6"/>
      <c r="AA85" s="7" t="s">
        <v>5176</v>
      </c>
      <c r="AB85" s="8">
        <v>2016</v>
      </c>
      <c r="AC85" s="9">
        <v>42639</v>
      </c>
      <c r="AD85" s="10"/>
      <c r="AE85" s="31" t="s">
        <v>5933</v>
      </c>
    </row>
    <row r="86" spans="1:31" ht="12.75">
      <c r="A86" s="4" t="s">
        <v>5934</v>
      </c>
      <c r="B86" s="1" t="s">
        <v>5935</v>
      </c>
      <c r="C86" s="1" t="s">
        <v>5936</v>
      </c>
      <c r="D86" s="1" t="s">
        <v>5937</v>
      </c>
      <c r="E86" s="2">
        <v>2856</v>
      </c>
      <c r="F86" s="2">
        <v>70</v>
      </c>
      <c r="G86" s="3" t="s">
        <v>5916</v>
      </c>
      <c r="H86" s="3" t="s">
        <v>5938</v>
      </c>
      <c r="I86" s="3" t="s">
        <v>5939</v>
      </c>
      <c r="J86" s="44" t="str">
        <f>HYPERLINK("https://www.centcols.org/util/geo/visuGen.php?code=FR-05-2856","FR-05-2856")</f>
        <v>FR-05-2856</v>
      </c>
      <c r="K86" s="3"/>
      <c r="L86" s="1"/>
      <c r="M86" s="8">
        <v>99</v>
      </c>
      <c r="N86" s="8">
        <v>20</v>
      </c>
      <c r="O86" s="4"/>
      <c r="P86" s="3"/>
      <c r="Q86" s="3" t="s">
        <v>5940</v>
      </c>
      <c r="R86" s="3" t="s">
        <v>5941</v>
      </c>
      <c r="S86" s="25">
        <v>6.8770239529394805</v>
      </c>
      <c r="T86" s="25">
        <v>44.6657412181205</v>
      </c>
      <c r="U86" s="2">
        <v>32</v>
      </c>
      <c r="V86" s="3">
        <v>331707</v>
      </c>
      <c r="W86" s="3">
        <v>4948012</v>
      </c>
      <c r="X86" s="25">
        <v>5.04477655420009</v>
      </c>
      <c r="Y86" s="25">
        <v>49.628600390050934</v>
      </c>
      <c r="Z86" s="6"/>
      <c r="AA86" s="7" t="s">
        <v>5138</v>
      </c>
      <c r="AB86" s="8">
        <v>2011</v>
      </c>
      <c r="AC86" s="9"/>
      <c r="AD86" s="10">
        <v>1</v>
      </c>
      <c r="AE86" s="31" t="s">
        <v>5942</v>
      </c>
    </row>
    <row r="87" spans="1:31" ht="12.75">
      <c r="A87" s="4" t="s">
        <v>5943</v>
      </c>
      <c r="B87" s="1" t="s">
        <v>5612</v>
      </c>
      <c r="C87" s="1" t="s">
        <v>5944</v>
      </c>
      <c r="D87" s="1" t="s">
        <v>5945</v>
      </c>
      <c r="E87" s="2">
        <v>227</v>
      </c>
      <c r="F87" s="2">
        <v>61</v>
      </c>
      <c r="G87" s="3" t="s">
        <v>5946</v>
      </c>
      <c r="H87" s="3" t="s">
        <v>5947</v>
      </c>
      <c r="I87" s="3" t="s">
        <v>5948</v>
      </c>
      <c r="J87" s="44" t="str">
        <f>HYPERLINK("https://www.centcols.org/util/geo/visuGen.php?code=FR-06-0227","FR-06-0227")</f>
        <v>FR-06-0227</v>
      </c>
      <c r="K87" s="3" t="s">
        <v>5949</v>
      </c>
      <c r="L87" s="1" t="s">
        <v>5950</v>
      </c>
      <c r="M87" s="8">
        <v>0</v>
      </c>
      <c r="N87" s="8">
        <v>0</v>
      </c>
      <c r="O87" s="4"/>
      <c r="P87" s="3"/>
      <c r="Q87" s="3" t="s">
        <v>5951</v>
      </c>
      <c r="R87" s="3" t="s">
        <v>5952</v>
      </c>
      <c r="S87" s="25">
        <v>7.01193301337824</v>
      </c>
      <c r="T87" s="25">
        <v>43.64306440251732</v>
      </c>
      <c r="U87" s="2">
        <v>32</v>
      </c>
      <c r="V87" s="3">
        <v>339654</v>
      </c>
      <c r="W87" s="3">
        <v>4834150</v>
      </c>
      <c r="X87" s="25">
        <v>5.1946573867464565</v>
      </c>
      <c r="Y87" s="25">
        <v>48.49226226997762</v>
      </c>
      <c r="Z87" s="6"/>
      <c r="AA87" s="7" t="s">
        <v>5138</v>
      </c>
      <c r="AB87" s="8">
        <v>2007</v>
      </c>
      <c r="AC87" s="9"/>
      <c r="AD87" s="10">
        <v>1</v>
      </c>
      <c r="AE87" s="31" t="s">
        <v>5953</v>
      </c>
    </row>
    <row r="88" spans="1:31" ht="12.75">
      <c r="A88" s="4" t="s">
        <v>5954</v>
      </c>
      <c r="B88" s="1" t="s">
        <v>5589</v>
      </c>
      <c r="C88" s="1" t="s">
        <v>5805</v>
      </c>
      <c r="D88" s="1" t="s">
        <v>5806</v>
      </c>
      <c r="E88" s="2">
        <v>285</v>
      </c>
      <c r="F88" s="2">
        <v>61</v>
      </c>
      <c r="G88" s="3" t="s">
        <v>5946</v>
      </c>
      <c r="H88" s="3" t="s">
        <v>5955</v>
      </c>
      <c r="I88" s="3" t="s">
        <v>5956</v>
      </c>
      <c r="J88" s="44" t="str">
        <f>HYPERLINK("https://www.centcols.org/util/geo/visuGen.php?code=FR-06-0285","FR-06-0285")</f>
        <v>FR-06-0285</v>
      </c>
      <c r="K88" s="3" t="s">
        <v>5957</v>
      </c>
      <c r="L88" s="1" t="s">
        <v>5157</v>
      </c>
      <c r="M88" s="8">
        <v>0</v>
      </c>
      <c r="N88" s="8">
        <v>0</v>
      </c>
      <c r="O88" s="4"/>
      <c r="P88" s="3"/>
      <c r="Q88" s="3" t="s">
        <v>5958</v>
      </c>
      <c r="R88" s="3" t="s">
        <v>5959</v>
      </c>
      <c r="S88" s="25">
        <v>7.01274</v>
      </c>
      <c r="T88" s="25">
        <v>43.677118</v>
      </c>
      <c r="U88" s="2">
        <v>32</v>
      </c>
      <c r="V88" s="3">
        <v>339810</v>
      </c>
      <c r="W88" s="3">
        <v>4837931</v>
      </c>
      <c r="X88" s="25">
        <v>5.195554</v>
      </c>
      <c r="Y88" s="25">
        <v>48.530101</v>
      </c>
      <c r="Z88" s="6"/>
      <c r="AA88" s="7" t="s">
        <v>5138</v>
      </c>
      <c r="AB88" s="8">
        <v>2016</v>
      </c>
      <c r="AC88" s="9">
        <v>42593</v>
      </c>
      <c r="AD88" s="10"/>
      <c r="AE88" s="31" t="s">
        <v>5960</v>
      </c>
    </row>
    <row r="89" spans="1:31" ht="12.75">
      <c r="A89" s="4" t="s">
        <v>5961</v>
      </c>
      <c r="B89" s="1" t="s">
        <v>5128</v>
      </c>
      <c r="C89" s="1" t="s">
        <v>5962</v>
      </c>
      <c r="D89" s="1" t="s">
        <v>5963</v>
      </c>
      <c r="E89" s="2">
        <v>300</v>
      </c>
      <c r="F89" s="2">
        <v>61</v>
      </c>
      <c r="G89" s="3" t="s">
        <v>5964</v>
      </c>
      <c r="H89" s="3" t="s">
        <v>5965</v>
      </c>
      <c r="I89" s="3" t="s">
        <v>5966</v>
      </c>
      <c r="J89" s="44" t="str">
        <f>HYPERLINK("https://www.centcols.org/util/geo/visuGen.php?code=FR-06-0300","FR-06-0300")</f>
        <v>FR-06-0300</v>
      </c>
      <c r="K89" s="3"/>
      <c r="L89" s="1" t="s">
        <v>5246</v>
      </c>
      <c r="M89" s="8">
        <v>2</v>
      </c>
      <c r="N89" s="8">
        <v>10</v>
      </c>
      <c r="O89" s="4"/>
      <c r="P89" s="3"/>
      <c r="Q89" s="3" t="s">
        <v>5967</v>
      </c>
      <c r="R89" s="3" t="s">
        <v>5968</v>
      </c>
      <c r="S89" s="25">
        <v>7.21851</v>
      </c>
      <c r="T89" s="25">
        <v>43.803794</v>
      </c>
      <c r="U89" s="2">
        <v>32</v>
      </c>
      <c r="V89" s="3">
        <v>356700</v>
      </c>
      <c r="W89" s="3">
        <v>4851623</v>
      </c>
      <c r="X89" s="25">
        <v>5.424181</v>
      </c>
      <c r="Y89" s="25">
        <v>48.670854</v>
      </c>
      <c r="Z89" s="6"/>
      <c r="AA89" s="7" t="s">
        <v>5176</v>
      </c>
      <c r="AB89" s="8" t="s">
        <v>5571</v>
      </c>
      <c r="AC89" s="9"/>
      <c r="AD89" s="10">
        <v>1</v>
      </c>
      <c r="AE89" s="31" t="s">
        <v>5969</v>
      </c>
    </row>
    <row r="90" spans="1:31" ht="22.5">
      <c r="A90" s="4" t="s">
        <v>5970</v>
      </c>
      <c r="B90" s="1" t="s">
        <v>5971</v>
      </c>
      <c r="C90" s="1" t="s">
        <v>5972</v>
      </c>
      <c r="D90" s="1" t="s">
        <v>5973</v>
      </c>
      <c r="E90" s="2">
        <v>300</v>
      </c>
      <c r="F90" s="2">
        <v>61</v>
      </c>
      <c r="G90" s="3" t="s">
        <v>5964</v>
      </c>
      <c r="H90" s="3" t="s">
        <v>5974</v>
      </c>
      <c r="I90" s="3" t="s">
        <v>5975</v>
      </c>
      <c r="J90" s="44" t="str">
        <f>HYPERLINK("https://www.centcols.org/util/geo/visuGen.php?code=FR-06-0300a","FR-06-0300a")</f>
        <v>FR-06-0300a</v>
      </c>
      <c r="K90" s="3"/>
      <c r="L90" s="1" t="s">
        <v>5976</v>
      </c>
      <c r="M90" s="8">
        <v>99</v>
      </c>
      <c r="N90" s="8">
        <v>15</v>
      </c>
      <c r="O90" s="4"/>
      <c r="P90" s="3"/>
      <c r="Q90" s="3" t="s">
        <v>5977</v>
      </c>
      <c r="R90" s="3" t="s">
        <v>5978</v>
      </c>
      <c r="S90" s="25">
        <v>7.221634</v>
      </c>
      <c r="T90" s="25">
        <v>43.807776</v>
      </c>
      <c r="U90" s="2">
        <v>32</v>
      </c>
      <c r="V90" s="3">
        <v>356961</v>
      </c>
      <c r="W90" s="3">
        <v>4852060</v>
      </c>
      <c r="X90" s="25">
        <v>5.427653</v>
      </c>
      <c r="Y90" s="25">
        <v>48.675278</v>
      </c>
      <c r="Z90" s="6"/>
      <c r="AA90" s="7" t="s">
        <v>5176</v>
      </c>
      <c r="AB90" s="8" t="s">
        <v>5571</v>
      </c>
      <c r="AC90" s="9"/>
      <c r="AD90" s="10">
        <v>1</v>
      </c>
      <c r="AE90" s="31" t="s">
        <v>5979</v>
      </c>
    </row>
    <row r="91" spans="1:31" ht="12.75">
      <c r="A91" s="4" t="s">
        <v>5980</v>
      </c>
      <c r="B91" s="1" t="s">
        <v>5981</v>
      </c>
      <c r="C91" s="1" t="s">
        <v>5982</v>
      </c>
      <c r="D91" s="1" t="s">
        <v>5983</v>
      </c>
      <c r="E91" s="2">
        <v>320</v>
      </c>
      <c r="F91" s="2">
        <v>61</v>
      </c>
      <c r="G91" s="3" t="s">
        <v>5964</v>
      </c>
      <c r="H91" s="3" t="s">
        <v>5984</v>
      </c>
      <c r="I91" s="3" t="s">
        <v>5985</v>
      </c>
      <c r="J91" s="44" t="str">
        <f>HYPERLINK("https://www.centcols.org/util/geo/visuGen.php?code=FR-06-0320","FR-06-0320")</f>
        <v>FR-06-0320</v>
      </c>
      <c r="K91" s="3" t="s">
        <v>5986</v>
      </c>
      <c r="L91" s="1" t="s">
        <v>5157</v>
      </c>
      <c r="M91" s="8">
        <v>0</v>
      </c>
      <c r="N91" s="8">
        <v>0</v>
      </c>
      <c r="O91" s="4"/>
      <c r="P91" s="3"/>
      <c r="Q91" s="3" t="s">
        <v>5987</v>
      </c>
      <c r="R91" s="3" t="s">
        <v>5988</v>
      </c>
      <c r="S91" s="25">
        <v>7.224804917053097</v>
      </c>
      <c r="T91" s="25">
        <v>43.81387377261244</v>
      </c>
      <c r="U91" s="2">
        <v>32</v>
      </c>
      <c r="V91" s="3">
        <v>357230</v>
      </c>
      <c r="W91" s="3">
        <v>4852732</v>
      </c>
      <c r="X91" s="25">
        <v>5.431176046617798</v>
      </c>
      <c r="Y91" s="25">
        <v>48.68205390613415</v>
      </c>
      <c r="Z91" s="6"/>
      <c r="AA91" s="7" t="s">
        <v>5138</v>
      </c>
      <c r="AB91" s="8" t="s">
        <v>5571</v>
      </c>
      <c r="AC91" s="9">
        <v>41304</v>
      </c>
      <c r="AD91" s="10">
        <v>19</v>
      </c>
      <c r="AE91" s="31" t="s">
        <v>5989</v>
      </c>
    </row>
    <row r="92" spans="1:31" ht="12.75">
      <c r="A92" s="4" t="s">
        <v>5990</v>
      </c>
      <c r="B92" s="1" t="s">
        <v>5991</v>
      </c>
      <c r="C92" s="1" t="s">
        <v>5992</v>
      </c>
      <c r="D92" s="1" t="s">
        <v>5993</v>
      </c>
      <c r="E92" s="2">
        <v>335</v>
      </c>
      <c r="F92" s="2">
        <v>61</v>
      </c>
      <c r="G92" s="3" t="s">
        <v>5964</v>
      </c>
      <c r="H92" s="3" t="s">
        <v>5994</v>
      </c>
      <c r="I92" s="3" t="s">
        <v>5995</v>
      </c>
      <c r="J92" s="44" t="str">
        <f>HYPERLINK("https://www.centcols.org/util/geo/visuGen.php?code=FR-06-0335","FR-06-0335")</f>
        <v>FR-06-0335</v>
      </c>
      <c r="K92" s="3"/>
      <c r="L92" s="1"/>
      <c r="M92" s="8">
        <v>99</v>
      </c>
      <c r="N92" s="8">
        <v>20</v>
      </c>
      <c r="O92" s="4"/>
      <c r="P92" s="3"/>
      <c r="Q92" s="3" t="s">
        <v>5996</v>
      </c>
      <c r="R92" s="3" t="s">
        <v>5997</v>
      </c>
      <c r="S92" s="25">
        <v>7.223826524563123</v>
      </c>
      <c r="T92" s="25">
        <v>43.81112267816175</v>
      </c>
      <c r="U92" s="2">
        <v>32</v>
      </c>
      <c r="V92" s="3">
        <v>357145</v>
      </c>
      <c r="W92" s="3">
        <v>4852428</v>
      </c>
      <c r="X92" s="25">
        <v>5.430088926255385</v>
      </c>
      <c r="Y92" s="25">
        <v>48.6789970407782</v>
      </c>
      <c r="Z92" s="6"/>
      <c r="AA92" s="7" t="s">
        <v>5138</v>
      </c>
      <c r="AB92" s="8" t="s">
        <v>5571</v>
      </c>
      <c r="AC92" s="9">
        <v>41304</v>
      </c>
      <c r="AD92" s="10">
        <v>19</v>
      </c>
      <c r="AE92" s="31" t="s">
        <v>5998</v>
      </c>
    </row>
    <row r="93" spans="1:31" ht="12.75">
      <c r="A93" s="4" t="s">
        <v>5999</v>
      </c>
      <c r="B93" s="1" t="s">
        <v>5534</v>
      </c>
      <c r="C93" s="1" t="s">
        <v>6000</v>
      </c>
      <c r="D93" s="1" t="s">
        <v>6001</v>
      </c>
      <c r="E93" s="2">
        <v>342</v>
      </c>
      <c r="F93" s="2">
        <v>61</v>
      </c>
      <c r="G93" s="3" t="s">
        <v>5964</v>
      </c>
      <c r="H93" s="3" t="s">
        <v>6002</v>
      </c>
      <c r="I93" s="3" t="s">
        <v>6003</v>
      </c>
      <c r="J93" s="44" t="str">
        <f>HYPERLINK("https://www.centcols.org/util/geo/visuGen.php?code=FR-06-0336","FR-06-0336")</f>
        <v>FR-06-0336</v>
      </c>
      <c r="K93" s="3" t="s">
        <v>6004</v>
      </c>
      <c r="L93" s="1" t="s">
        <v>6005</v>
      </c>
      <c r="M93" s="8">
        <v>0</v>
      </c>
      <c r="N93" s="8">
        <v>0</v>
      </c>
      <c r="O93" s="4"/>
      <c r="P93" s="3"/>
      <c r="Q93" s="3" t="s">
        <v>6006</v>
      </c>
      <c r="R93" s="3" t="s">
        <v>6007</v>
      </c>
      <c r="S93" s="25">
        <v>7.223948</v>
      </c>
      <c r="T93" s="25">
        <v>43.803686</v>
      </c>
      <c r="U93" s="2">
        <v>32</v>
      </c>
      <c r="V93" s="3">
        <v>357137</v>
      </c>
      <c r="W93" s="3">
        <v>4851602</v>
      </c>
      <c r="X93" s="25">
        <v>5.430224</v>
      </c>
      <c r="Y93" s="25">
        <v>48.670734</v>
      </c>
      <c r="Z93" s="6"/>
      <c r="AA93" s="7" t="s">
        <v>5176</v>
      </c>
      <c r="AB93" s="8" t="s">
        <v>5571</v>
      </c>
      <c r="AC93" s="9"/>
      <c r="AD93" s="10">
        <v>1</v>
      </c>
      <c r="AE93" s="31" t="s">
        <v>5969</v>
      </c>
    </row>
    <row r="94" spans="1:31" ht="12.75">
      <c r="A94" s="4" t="s">
        <v>6008</v>
      </c>
      <c r="B94" s="1" t="s">
        <v>5128</v>
      </c>
      <c r="C94" s="1" t="s">
        <v>6009</v>
      </c>
      <c r="D94" s="1" t="s">
        <v>6010</v>
      </c>
      <c r="E94" s="2">
        <v>390</v>
      </c>
      <c r="F94" s="2">
        <v>61</v>
      </c>
      <c r="G94" s="3" t="s">
        <v>5964</v>
      </c>
      <c r="H94" s="3" t="s">
        <v>6011</v>
      </c>
      <c r="I94" s="3" t="s">
        <v>6012</v>
      </c>
      <c r="J94" s="44" t="str">
        <f>HYPERLINK("https://www.centcols.org/util/geo/visuGen.php?code=FR-06-0390","FR-06-0390")</f>
        <v>FR-06-0390</v>
      </c>
      <c r="K94" s="3" t="s">
        <v>6013</v>
      </c>
      <c r="L94" s="1" t="s">
        <v>5157</v>
      </c>
      <c r="M94" s="8">
        <v>0</v>
      </c>
      <c r="N94" s="8">
        <v>0</v>
      </c>
      <c r="O94" s="4"/>
      <c r="P94" s="3"/>
      <c r="Q94" s="3" t="s">
        <v>6014</v>
      </c>
      <c r="R94" s="3" t="s">
        <v>6015</v>
      </c>
      <c r="S94" s="25">
        <v>7.228731671050309</v>
      </c>
      <c r="T94" s="25">
        <v>43.81512793894904</v>
      </c>
      <c r="U94" s="2">
        <v>32</v>
      </c>
      <c r="V94" s="3">
        <v>357549</v>
      </c>
      <c r="W94" s="3">
        <v>4852865</v>
      </c>
      <c r="X94" s="25">
        <v>5.435538963761202</v>
      </c>
      <c r="Y94" s="25">
        <v>48.683447448590755</v>
      </c>
      <c r="Z94" s="6"/>
      <c r="AA94" s="7" t="s">
        <v>5138</v>
      </c>
      <c r="AB94" s="8" t="s">
        <v>5571</v>
      </c>
      <c r="AC94" s="9">
        <v>41304</v>
      </c>
      <c r="AD94" s="10">
        <v>19</v>
      </c>
      <c r="AE94" s="31" t="s">
        <v>6016</v>
      </c>
    </row>
    <row r="95" spans="1:31" ht="12.75">
      <c r="A95" s="4" t="s">
        <v>6017</v>
      </c>
      <c r="B95" s="1" t="s">
        <v>5262</v>
      </c>
      <c r="C95" s="1" t="s">
        <v>6018</v>
      </c>
      <c r="D95" s="1" t="s">
        <v>6018</v>
      </c>
      <c r="E95" s="2">
        <v>432</v>
      </c>
      <c r="F95" s="2">
        <v>61</v>
      </c>
      <c r="G95" s="3" t="s">
        <v>6019</v>
      </c>
      <c r="H95" s="3" t="s">
        <v>6020</v>
      </c>
      <c r="I95" s="3" t="s">
        <v>6021</v>
      </c>
      <c r="J95" s="44" t="str">
        <f>HYPERLINK("https://www.centcols.org/util/geo/visuGen.php?code=FR-06-0432","FR-06-0432")</f>
        <v>FR-06-0432</v>
      </c>
      <c r="K95" s="3"/>
      <c r="L95" s="1" t="s">
        <v>6022</v>
      </c>
      <c r="M95" s="8">
        <v>2</v>
      </c>
      <c r="N95" s="8">
        <v>15</v>
      </c>
      <c r="O95" s="4"/>
      <c r="P95" s="3"/>
      <c r="Q95" s="3" t="s">
        <v>6023</v>
      </c>
      <c r="R95" s="3" t="s">
        <v>6024</v>
      </c>
      <c r="S95" s="25">
        <v>7.377617</v>
      </c>
      <c r="T95" s="25">
        <v>43.778723</v>
      </c>
      <c r="U95" s="2">
        <v>32</v>
      </c>
      <c r="V95" s="3">
        <v>369444</v>
      </c>
      <c r="W95" s="3">
        <v>4848576</v>
      </c>
      <c r="X95" s="25">
        <v>5.600961</v>
      </c>
      <c r="Y95" s="25">
        <v>48.642995</v>
      </c>
      <c r="Z95" s="6"/>
      <c r="AA95" s="7" t="s">
        <v>5176</v>
      </c>
      <c r="AB95" s="8">
        <v>2016</v>
      </c>
      <c r="AC95" s="9">
        <v>42639</v>
      </c>
      <c r="AD95" s="10"/>
      <c r="AE95" s="31" t="s">
        <v>6025</v>
      </c>
    </row>
    <row r="96" spans="1:31" ht="12.75">
      <c r="A96" s="4" t="s">
        <v>6026</v>
      </c>
      <c r="B96" s="1" t="s">
        <v>5262</v>
      </c>
      <c r="C96" s="1" t="s">
        <v>6027</v>
      </c>
      <c r="D96" s="1" t="s">
        <v>6027</v>
      </c>
      <c r="E96" s="2">
        <v>478</v>
      </c>
      <c r="F96" s="2">
        <v>61</v>
      </c>
      <c r="G96" s="3" t="s">
        <v>6019</v>
      </c>
      <c r="H96" s="3" t="s">
        <v>6028</v>
      </c>
      <c r="I96" s="3" t="s">
        <v>6029</v>
      </c>
      <c r="J96" s="44" t="str">
        <f>HYPERLINK("https://www.centcols.org/util/geo/visuGen.php?code=FR-06-0478a","FR-06-0478a")</f>
        <v>FR-06-0478a</v>
      </c>
      <c r="K96" s="3" t="s">
        <v>6030</v>
      </c>
      <c r="L96" s="1" t="s">
        <v>6031</v>
      </c>
      <c r="M96" s="8">
        <v>0</v>
      </c>
      <c r="N96" s="8">
        <v>0</v>
      </c>
      <c r="O96" s="4"/>
      <c r="P96" s="3"/>
      <c r="Q96" s="3" t="s">
        <v>6032</v>
      </c>
      <c r="R96" s="3" t="s">
        <v>6033</v>
      </c>
      <c r="S96" s="25">
        <v>7.400750684428756</v>
      </c>
      <c r="T96" s="25">
        <v>43.746062626380045</v>
      </c>
      <c r="U96" s="2">
        <v>32</v>
      </c>
      <c r="V96" s="3">
        <v>371235</v>
      </c>
      <c r="W96" s="3">
        <v>4844912</v>
      </c>
      <c r="X96" s="25">
        <v>5.6266629972094675</v>
      </c>
      <c r="Y96" s="25">
        <v>48.60670509393429</v>
      </c>
      <c r="Z96" s="6"/>
      <c r="AA96" s="7" t="s">
        <v>5138</v>
      </c>
      <c r="AB96" s="8">
        <v>2009</v>
      </c>
      <c r="AC96" s="9"/>
      <c r="AD96" s="10">
        <v>1</v>
      </c>
      <c r="AE96" s="31" t="s">
        <v>6034</v>
      </c>
    </row>
    <row r="97" spans="1:31" ht="12.75">
      <c r="A97" s="4" t="s">
        <v>6035</v>
      </c>
      <c r="B97" s="1" t="s">
        <v>5612</v>
      </c>
      <c r="C97" s="1" t="s">
        <v>6036</v>
      </c>
      <c r="D97" s="1" t="s">
        <v>6018</v>
      </c>
      <c r="E97" s="2">
        <v>524</v>
      </c>
      <c r="F97" s="2">
        <v>61</v>
      </c>
      <c r="G97" s="3" t="s">
        <v>6037</v>
      </c>
      <c r="H97" s="3" t="s">
        <v>6038</v>
      </c>
      <c r="I97" s="3" t="s">
        <v>6039</v>
      </c>
      <c r="J97" s="44" t="str">
        <f>HYPERLINK("https://www.centcols.org/util/geo/visuGen.php?code=FR-06-0524a","FR-06-0524a")</f>
        <v>FR-06-0524a</v>
      </c>
      <c r="K97" s="3" t="s">
        <v>6040</v>
      </c>
      <c r="L97" s="1" t="s">
        <v>6041</v>
      </c>
      <c r="M97" s="8">
        <v>0</v>
      </c>
      <c r="N97" s="8">
        <v>0</v>
      </c>
      <c r="O97" s="4"/>
      <c r="P97" s="3"/>
      <c r="Q97" s="3" t="s">
        <v>6042</v>
      </c>
      <c r="R97" s="3" t="s">
        <v>6043</v>
      </c>
      <c r="S97" s="25">
        <v>7.151292</v>
      </c>
      <c r="T97" s="25">
        <v>43.946813</v>
      </c>
      <c r="U97" s="2">
        <v>32</v>
      </c>
      <c r="V97" s="3">
        <v>351648</v>
      </c>
      <c r="W97" s="3">
        <v>4867627</v>
      </c>
      <c r="X97" s="25">
        <v>5.3495</v>
      </c>
      <c r="Y97" s="25">
        <v>48.829769</v>
      </c>
      <c r="Z97" s="6"/>
      <c r="AA97" s="7" t="s">
        <v>5138</v>
      </c>
      <c r="AB97" s="8">
        <v>2015</v>
      </c>
      <c r="AC97" s="9">
        <v>42297</v>
      </c>
      <c r="AD97" s="10"/>
      <c r="AE97" s="31" t="s">
        <v>6044</v>
      </c>
    </row>
    <row r="98" spans="1:31" ht="12.75">
      <c r="A98" s="4" t="s">
        <v>6045</v>
      </c>
      <c r="B98" s="1" t="s">
        <v>6046</v>
      </c>
      <c r="C98" s="1" t="s">
        <v>6047</v>
      </c>
      <c r="D98" s="1" t="s">
        <v>6048</v>
      </c>
      <c r="E98" s="2">
        <v>555</v>
      </c>
      <c r="F98" s="2">
        <v>61</v>
      </c>
      <c r="G98" s="3" t="s">
        <v>6019</v>
      </c>
      <c r="H98" s="3" t="s">
        <v>6049</v>
      </c>
      <c r="I98" s="3" t="s">
        <v>6050</v>
      </c>
      <c r="J98" s="44" t="str">
        <f>HYPERLINK("https://www.centcols.org/util/geo/visuGen.php?code=FR-06-0555a","FR-06-0555a")</f>
        <v>FR-06-0555a</v>
      </c>
      <c r="K98" s="3" t="s">
        <v>6051</v>
      </c>
      <c r="L98" s="1" t="s">
        <v>6052</v>
      </c>
      <c r="M98" s="8">
        <v>0</v>
      </c>
      <c r="N98" s="8">
        <v>0</v>
      </c>
      <c r="O98" s="4"/>
      <c r="P98" s="3"/>
      <c r="Q98" s="3" t="s">
        <v>6053</v>
      </c>
      <c r="R98" s="3" t="s">
        <v>6054</v>
      </c>
      <c r="S98" s="25">
        <v>7.453977</v>
      </c>
      <c r="T98" s="25">
        <v>43.854914</v>
      </c>
      <c r="U98" s="2">
        <v>32</v>
      </c>
      <c r="V98" s="3">
        <v>375747</v>
      </c>
      <c r="W98" s="3">
        <v>4856920</v>
      </c>
      <c r="X98" s="25">
        <v>5.685803</v>
      </c>
      <c r="Y98" s="25">
        <v>48.727655</v>
      </c>
      <c r="Z98" s="6"/>
      <c r="AA98" s="7" t="s">
        <v>5176</v>
      </c>
      <c r="AB98" s="8" t="s">
        <v>5571</v>
      </c>
      <c r="AC98" s="9">
        <v>41317</v>
      </c>
      <c r="AD98" s="10">
        <v>26</v>
      </c>
      <c r="AE98" s="31" t="s">
        <v>6055</v>
      </c>
    </row>
    <row r="99" spans="1:31" ht="12.75">
      <c r="A99" s="4" t="s">
        <v>6056</v>
      </c>
      <c r="B99" s="1" t="s">
        <v>6057</v>
      </c>
      <c r="C99" s="1" t="s">
        <v>6058</v>
      </c>
      <c r="D99" s="1" t="s">
        <v>6059</v>
      </c>
      <c r="E99" s="2">
        <v>560</v>
      </c>
      <c r="F99" s="2">
        <v>61</v>
      </c>
      <c r="G99" s="3" t="s">
        <v>6019</v>
      </c>
      <c r="H99" s="3" t="s">
        <v>6060</v>
      </c>
      <c r="I99" s="3" t="s">
        <v>6061</v>
      </c>
      <c r="J99" s="44" t="str">
        <f>HYPERLINK("https://www.centcols.org/util/geo/visuGen.php?code=FR-06-0560","FR-06-0560")</f>
        <v>FR-06-0560</v>
      </c>
      <c r="K99" s="3"/>
      <c r="L99" s="1" t="s">
        <v>5176</v>
      </c>
      <c r="M99" s="8">
        <v>99</v>
      </c>
      <c r="N99" s="8">
        <v>15</v>
      </c>
      <c r="O99" s="4"/>
      <c r="P99" s="3"/>
      <c r="Q99" s="3" t="s">
        <v>6062</v>
      </c>
      <c r="R99" s="3" t="s">
        <v>6063</v>
      </c>
      <c r="S99" s="25">
        <v>7.525236</v>
      </c>
      <c r="T99" s="25">
        <v>43.913677</v>
      </c>
      <c r="U99" s="2">
        <v>32</v>
      </c>
      <c r="V99" s="3">
        <v>381590</v>
      </c>
      <c r="W99" s="3">
        <v>4863342</v>
      </c>
      <c r="X99" s="25">
        <v>5.764978202194845</v>
      </c>
      <c r="Y99" s="25">
        <v>48.79294810741836</v>
      </c>
      <c r="Z99" s="6"/>
      <c r="AA99" s="7" t="s">
        <v>5138</v>
      </c>
      <c r="AB99" s="8">
        <v>2016</v>
      </c>
      <c r="AC99" s="9"/>
      <c r="AD99" s="10"/>
      <c r="AE99" s="31" t="s">
        <v>5269</v>
      </c>
    </row>
    <row r="100" spans="1:31" ht="12.75">
      <c r="A100" s="4" t="s">
        <v>6064</v>
      </c>
      <c r="B100" s="1" t="s">
        <v>5991</v>
      </c>
      <c r="C100" s="1" t="s">
        <v>6065</v>
      </c>
      <c r="D100" s="1" t="s">
        <v>6066</v>
      </c>
      <c r="E100" s="2">
        <v>590</v>
      </c>
      <c r="F100" s="2">
        <v>61</v>
      </c>
      <c r="G100" s="3" t="s">
        <v>6067</v>
      </c>
      <c r="H100" s="3" t="s">
        <v>6068</v>
      </c>
      <c r="I100" s="3" t="s">
        <v>6069</v>
      </c>
      <c r="J100" s="44" t="str">
        <f>HYPERLINK("https://www.centcols.org/util/geo/visuGen.php?code=FR-06-0590","FR-06-0590")</f>
        <v>FR-06-0590</v>
      </c>
      <c r="K100" s="3" t="s">
        <v>6070</v>
      </c>
      <c r="L100" s="1" t="s">
        <v>6071</v>
      </c>
      <c r="M100" s="8">
        <v>0</v>
      </c>
      <c r="N100" s="8">
        <v>0</v>
      </c>
      <c r="O100" s="4"/>
      <c r="P100" s="3"/>
      <c r="Q100" s="3" t="s">
        <v>6072</v>
      </c>
      <c r="R100" s="3" t="s">
        <v>6073</v>
      </c>
      <c r="S100" s="25">
        <v>7.173086</v>
      </c>
      <c r="T100" s="25">
        <v>43.856212</v>
      </c>
      <c r="U100" s="2">
        <v>32</v>
      </c>
      <c r="V100" s="3">
        <v>353175</v>
      </c>
      <c r="W100" s="3">
        <v>4857525</v>
      </c>
      <c r="X100" s="25">
        <v>5.373714</v>
      </c>
      <c r="Y100" s="25">
        <v>48.729098</v>
      </c>
      <c r="Z100" s="6"/>
      <c r="AA100" s="7" t="s">
        <v>5138</v>
      </c>
      <c r="AB100" s="8">
        <v>2016</v>
      </c>
      <c r="AC100" s="9">
        <v>42593</v>
      </c>
      <c r="AD100" s="10"/>
      <c r="AE100" s="31" t="s">
        <v>6074</v>
      </c>
    </row>
    <row r="101" spans="1:31" ht="12.75">
      <c r="A101" s="4" t="s">
        <v>6075</v>
      </c>
      <c r="B101" s="1" t="s">
        <v>6076</v>
      </c>
      <c r="C101" s="1" t="s">
        <v>6077</v>
      </c>
      <c r="D101" s="1" t="s">
        <v>6078</v>
      </c>
      <c r="E101" s="2">
        <v>675</v>
      </c>
      <c r="F101" s="2">
        <v>68</v>
      </c>
      <c r="G101" s="3" t="s">
        <v>5946</v>
      </c>
      <c r="H101" s="3" t="s">
        <v>6079</v>
      </c>
      <c r="I101" s="3" t="s">
        <v>6080</v>
      </c>
      <c r="J101" s="44" t="str">
        <f>HYPERLINK("https://www.centcols.org/util/geo/visuGen.php?code=FR-06-0675","FR-06-0675")</f>
        <v>FR-06-0675</v>
      </c>
      <c r="K101" s="3" t="s">
        <v>6081</v>
      </c>
      <c r="L101" s="1" t="s">
        <v>6082</v>
      </c>
      <c r="M101" s="8">
        <v>0</v>
      </c>
      <c r="N101" s="8">
        <v>0</v>
      </c>
      <c r="O101" s="4"/>
      <c r="P101" s="3"/>
      <c r="Q101" s="3" t="s">
        <v>6083</v>
      </c>
      <c r="R101" s="3" t="s">
        <v>6084</v>
      </c>
      <c r="S101" s="25">
        <v>6.841514687954647</v>
      </c>
      <c r="T101" s="25">
        <v>43.693237282795536</v>
      </c>
      <c r="U101" s="2">
        <v>32</v>
      </c>
      <c r="V101" s="3">
        <v>326054</v>
      </c>
      <c r="W101" s="3">
        <v>4840066</v>
      </c>
      <c r="X101" s="25">
        <v>5.005310288755752</v>
      </c>
      <c r="Y101" s="25">
        <v>48.548013112441474</v>
      </c>
      <c r="Z101" s="6"/>
      <c r="AA101" s="7" t="s">
        <v>5138</v>
      </c>
      <c r="AB101" s="8">
        <v>2006</v>
      </c>
      <c r="AC101" s="9"/>
      <c r="AD101" s="10">
        <v>1</v>
      </c>
      <c r="AE101" s="31" t="s">
        <v>6085</v>
      </c>
    </row>
    <row r="102" spans="1:31" ht="12.75">
      <c r="A102" s="4" t="s">
        <v>6086</v>
      </c>
      <c r="B102" s="1" t="s">
        <v>5612</v>
      </c>
      <c r="C102" s="1" t="s">
        <v>5944</v>
      </c>
      <c r="D102" s="1" t="s">
        <v>5945</v>
      </c>
      <c r="E102" s="2">
        <v>980</v>
      </c>
      <c r="F102" s="2">
        <v>61</v>
      </c>
      <c r="G102" s="3" t="s">
        <v>6087</v>
      </c>
      <c r="H102" s="3" t="s">
        <v>6088</v>
      </c>
      <c r="I102" s="3" t="s">
        <v>6089</v>
      </c>
      <c r="J102" s="44" t="str">
        <f>HYPERLINK("https://www.centcols.org/util/geo/visuGen.php?code=FR-06-0980b","FR-06-0980b")</f>
        <v>FR-06-0980b</v>
      </c>
      <c r="K102" s="3"/>
      <c r="L102" s="1"/>
      <c r="M102" s="8">
        <v>99</v>
      </c>
      <c r="N102" s="8">
        <v>20</v>
      </c>
      <c r="O102" s="4"/>
      <c r="P102" s="3"/>
      <c r="Q102" s="3" t="s">
        <v>6090</v>
      </c>
      <c r="R102" s="3" t="s">
        <v>6091</v>
      </c>
      <c r="S102" s="25">
        <v>7.052667895527145</v>
      </c>
      <c r="T102" s="25">
        <v>43.7386696923451</v>
      </c>
      <c r="U102" s="2">
        <v>32</v>
      </c>
      <c r="V102" s="3">
        <v>343189</v>
      </c>
      <c r="W102" s="3">
        <v>4844691</v>
      </c>
      <c r="X102" s="25">
        <v>5.239918265530348</v>
      </c>
      <c r="Y102" s="25">
        <v>48.59849282565998</v>
      </c>
      <c r="Z102" s="6"/>
      <c r="AA102" s="7" t="s">
        <v>5138</v>
      </c>
      <c r="AB102" s="8">
        <v>2007</v>
      </c>
      <c r="AC102" s="9"/>
      <c r="AD102" s="10">
        <v>1</v>
      </c>
      <c r="AE102" s="31" t="s">
        <v>6092</v>
      </c>
    </row>
    <row r="103" spans="1:31" ht="12.75">
      <c r="A103" s="4" t="s">
        <v>6093</v>
      </c>
      <c r="B103" s="1" t="s">
        <v>6094</v>
      </c>
      <c r="C103" s="1" t="s">
        <v>6095</v>
      </c>
      <c r="D103" s="1" t="s">
        <v>6096</v>
      </c>
      <c r="E103" s="2">
        <v>995</v>
      </c>
      <c r="F103" s="2">
        <v>61</v>
      </c>
      <c r="G103" s="3" t="s">
        <v>6097</v>
      </c>
      <c r="H103" s="3" t="s">
        <v>6098</v>
      </c>
      <c r="I103" s="3" t="s">
        <v>6099</v>
      </c>
      <c r="J103" s="44" t="str">
        <f>HYPERLINK("https://www.centcols.org/util/geo/visuGen.php?code=FR-06-0995","FR-06-0995")</f>
        <v>FR-06-0995</v>
      </c>
      <c r="K103" s="3"/>
      <c r="L103" s="1" t="s">
        <v>5176</v>
      </c>
      <c r="M103" s="8">
        <v>99</v>
      </c>
      <c r="N103" s="8">
        <v>15</v>
      </c>
      <c r="O103" s="4"/>
      <c r="P103" s="3"/>
      <c r="Q103" s="3" t="s">
        <v>6100</v>
      </c>
      <c r="R103" s="3" t="s">
        <v>6101</v>
      </c>
      <c r="S103" s="25">
        <v>6.783452</v>
      </c>
      <c r="T103" s="25">
        <v>43.87543</v>
      </c>
      <c r="U103" s="2">
        <v>32</v>
      </c>
      <c r="V103" s="3">
        <v>321917</v>
      </c>
      <c r="W103" s="3">
        <v>4860425</v>
      </c>
      <c r="X103" s="25">
        <v>4.940801</v>
      </c>
      <c r="Y103" s="25">
        <v>48.750455</v>
      </c>
      <c r="Z103" s="6"/>
      <c r="AA103" s="7" t="s">
        <v>5176</v>
      </c>
      <c r="AB103" s="8">
        <v>2016</v>
      </c>
      <c r="AC103" s="9">
        <v>42639</v>
      </c>
      <c r="AD103" s="10"/>
      <c r="AE103" s="31" t="s">
        <v>6102</v>
      </c>
    </row>
    <row r="104" spans="1:31" ht="12.75">
      <c r="A104" s="4" t="s">
        <v>6103</v>
      </c>
      <c r="B104" s="1" t="s">
        <v>6094</v>
      </c>
      <c r="C104" s="1" t="s">
        <v>6104</v>
      </c>
      <c r="D104" s="1" t="s">
        <v>6105</v>
      </c>
      <c r="E104" s="2">
        <v>1021</v>
      </c>
      <c r="F104" s="2">
        <v>61</v>
      </c>
      <c r="G104" s="3" t="s">
        <v>5964</v>
      </c>
      <c r="H104" s="3" t="s">
        <v>6106</v>
      </c>
      <c r="I104" s="3" t="s">
        <v>6107</v>
      </c>
      <c r="J104" s="44" t="str">
        <f>HYPERLINK("https://www.centcols.org/util/geo/visuGen.php?code=FR-06-1021a","FR-06-1021a")</f>
        <v>FR-06-1021a</v>
      </c>
      <c r="K104" s="3"/>
      <c r="L104" s="1"/>
      <c r="M104" s="8">
        <v>99</v>
      </c>
      <c r="N104" s="8">
        <v>20</v>
      </c>
      <c r="O104" s="4"/>
      <c r="P104" s="3"/>
      <c r="Q104" s="3" t="s">
        <v>6108</v>
      </c>
      <c r="R104" s="3" t="s">
        <v>6109</v>
      </c>
      <c r="S104" s="25">
        <v>7.276520463936716</v>
      </c>
      <c r="T104" s="25">
        <v>43.90647860652117</v>
      </c>
      <c r="U104" s="2">
        <v>32</v>
      </c>
      <c r="V104" s="3">
        <v>361604</v>
      </c>
      <c r="W104" s="3">
        <v>4862929</v>
      </c>
      <c r="X104" s="25">
        <v>5.488637461492363</v>
      </c>
      <c r="Y104" s="25">
        <v>48.78495127806051</v>
      </c>
      <c r="Z104" s="6"/>
      <c r="AA104" s="7" t="s">
        <v>5176</v>
      </c>
      <c r="AB104" s="8" t="s">
        <v>6110</v>
      </c>
      <c r="AC104" s="9"/>
      <c r="AD104" s="10">
        <v>1</v>
      </c>
      <c r="AE104" s="31" t="s">
        <v>6111</v>
      </c>
    </row>
    <row r="105" spans="1:31" ht="12.75">
      <c r="A105" s="4" t="s">
        <v>6112</v>
      </c>
      <c r="B105" s="1" t="s">
        <v>6113</v>
      </c>
      <c r="C105" s="1" t="s">
        <v>5826</v>
      </c>
      <c r="D105" s="1" t="s">
        <v>6114</v>
      </c>
      <c r="E105" s="2">
        <v>1030</v>
      </c>
      <c r="F105" s="2">
        <v>61</v>
      </c>
      <c r="G105" s="3" t="s">
        <v>6097</v>
      </c>
      <c r="H105" s="3" t="s">
        <v>6115</v>
      </c>
      <c r="I105" s="3" t="s">
        <v>6116</v>
      </c>
      <c r="J105" s="44" t="str">
        <f>HYPERLINK("https://www.centcols.org/util/geo/visuGen.php?code=FR-06-1030a","FR-06-1030a")</f>
        <v>FR-06-1030a</v>
      </c>
      <c r="K105" s="3"/>
      <c r="L105" s="1" t="s">
        <v>5176</v>
      </c>
      <c r="M105" s="8">
        <v>99</v>
      </c>
      <c r="N105" s="8">
        <v>15</v>
      </c>
      <c r="O105" s="4"/>
      <c r="P105" s="3"/>
      <c r="Q105" s="3" t="s">
        <v>6117</v>
      </c>
      <c r="R105" s="3" t="s">
        <v>6118</v>
      </c>
      <c r="S105" s="25">
        <v>6.815511</v>
      </c>
      <c r="T105" s="25">
        <v>43.889549</v>
      </c>
      <c r="U105" s="2">
        <v>32</v>
      </c>
      <c r="V105" s="3">
        <v>324534</v>
      </c>
      <c r="W105" s="3">
        <v>4861925</v>
      </c>
      <c r="X105" s="25">
        <v>4.976422</v>
      </c>
      <c r="Y105" s="25">
        <v>48.766144</v>
      </c>
      <c r="Z105" s="6"/>
      <c r="AA105" s="7" t="s">
        <v>5138</v>
      </c>
      <c r="AB105" s="8">
        <v>2017</v>
      </c>
      <c r="AC105" s="9"/>
      <c r="AD105" s="10"/>
      <c r="AE105" s="31" t="s">
        <v>6119</v>
      </c>
    </row>
    <row r="106" spans="1:31" ht="12.75">
      <c r="A106" s="4" t="s">
        <v>6120</v>
      </c>
      <c r="B106" s="1" t="s">
        <v>6094</v>
      </c>
      <c r="C106" s="1" t="s">
        <v>6121</v>
      </c>
      <c r="D106" s="1" t="s">
        <v>6122</v>
      </c>
      <c r="E106" s="2">
        <v>1046</v>
      </c>
      <c r="F106" s="2">
        <v>61</v>
      </c>
      <c r="G106" s="3" t="s">
        <v>6067</v>
      </c>
      <c r="H106" s="3" t="s">
        <v>6123</v>
      </c>
      <c r="I106" s="3" t="s">
        <v>6124</v>
      </c>
      <c r="J106" s="44" t="str">
        <f>HYPERLINK("https://www.centcols.org/util/geo/visuGen.php?code=FR-06-1046","FR-06-1046")</f>
        <v>FR-06-1046</v>
      </c>
      <c r="K106" s="3"/>
      <c r="L106" s="1" t="s">
        <v>5138</v>
      </c>
      <c r="M106" s="8">
        <v>35</v>
      </c>
      <c r="N106" s="8">
        <v>10</v>
      </c>
      <c r="O106" s="4"/>
      <c r="P106" s="3"/>
      <c r="Q106" s="3" t="s">
        <v>6125</v>
      </c>
      <c r="R106" s="3" t="s">
        <v>6126</v>
      </c>
      <c r="S106" s="25">
        <v>7.064050255481625</v>
      </c>
      <c r="T106" s="25">
        <v>43.775069146812534</v>
      </c>
      <c r="U106" s="2">
        <v>32</v>
      </c>
      <c r="V106" s="3">
        <v>344200</v>
      </c>
      <c r="W106" s="3">
        <v>4848712</v>
      </c>
      <c r="X106" s="25">
        <v>5.252565520675261</v>
      </c>
      <c r="Y106" s="25">
        <v>48.63893768487103</v>
      </c>
      <c r="Z106" s="6"/>
      <c r="AA106" s="7" t="s">
        <v>5138</v>
      </c>
      <c r="AB106" s="8">
        <v>2008</v>
      </c>
      <c r="AC106" s="9"/>
      <c r="AD106" s="10">
        <v>1</v>
      </c>
      <c r="AE106" s="31" t="s">
        <v>6127</v>
      </c>
    </row>
    <row r="107" spans="1:31" ht="12.75">
      <c r="A107" s="4" t="s">
        <v>6128</v>
      </c>
      <c r="B107" s="1" t="s">
        <v>6129</v>
      </c>
      <c r="C107" s="1" t="s">
        <v>6130</v>
      </c>
      <c r="D107" s="1" t="s">
        <v>6131</v>
      </c>
      <c r="E107" s="2">
        <v>1050</v>
      </c>
      <c r="F107" s="2">
        <v>61</v>
      </c>
      <c r="G107" s="3" t="s">
        <v>6097</v>
      </c>
      <c r="H107" s="3" t="s">
        <v>6132</v>
      </c>
      <c r="I107" s="3" t="s">
        <v>6133</v>
      </c>
      <c r="J107" s="44" t="str">
        <f>HYPERLINK("https://www.centcols.org/util/geo/visuGen.php?code=FR-06-1050","FR-06-1050")</f>
        <v>FR-06-1050</v>
      </c>
      <c r="K107" s="3"/>
      <c r="L107" s="1"/>
      <c r="M107" s="8">
        <v>99</v>
      </c>
      <c r="N107" s="8">
        <v>20</v>
      </c>
      <c r="O107" s="4"/>
      <c r="P107" s="3"/>
      <c r="Q107" s="3" t="s">
        <v>6134</v>
      </c>
      <c r="R107" s="3" t="s">
        <v>6135</v>
      </c>
      <c r="S107" s="25">
        <v>6.816493613378266</v>
      </c>
      <c r="T107" s="25">
        <v>43.8878845070552</v>
      </c>
      <c r="U107" s="2">
        <v>32</v>
      </c>
      <c r="V107" s="3">
        <v>324608</v>
      </c>
      <c r="W107" s="3">
        <v>4861738</v>
      </c>
      <c r="X107" s="25">
        <v>4.977512920415743</v>
      </c>
      <c r="Y107" s="25">
        <v>48.7642941440669</v>
      </c>
      <c r="Z107" s="6"/>
      <c r="AA107" s="7" t="s">
        <v>5176</v>
      </c>
      <c r="AB107" s="8" t="s">
        <v>6136</v>
      </c>
      <c r="AC107" s="9"/>
      <c r="AD107" s="10">
        <v>1</v>
      </c>
      <c r="AE107" s="31" t="s">
        <v>6137</v>
      </c>
    </row>
    <row r="108" spans="1:31" ht="12.75">
      <c r="A108" s="18" t="s">
        <v>6138</v>
      </c>
      <c r="B108" s="20" t="s">
        <v>6139</v>
      </c>
      <c r="C108" s="20" t="s">
        <v>6140</v>
      </c>
      <c r="D108" s="20" t="s">
        <v>6141</v>
      </c>
      <c r="E108" s="19">
        <v>1109</v>
      </c>
      <c r="F108" s="19">
        <v>61</v>
      </c>
      <c r="G108" s="19" t="s">
        <v>6019</v>
      </c>
      <c r="H108" s="19" t="s">
        <v>6142</v>
      </c>
      <c r="I108" s="19" t="s">
        <v>6143</v>
      </c>
      <c r="J108" s="44" t="str">
        <f>HYPERLINK("https://www.centcols.org/util/geo/visuGen.php?code=FR-06-1109","FR-06-1109")</f>
        <v>FR-06-1109</v>
      </c>
      <c r="K108" s="19"/>
      <c r="L108" s="20"/>
      <c r="M108" s="19">
        <v>99</v>
      </c>
      <c r="N108" s="19">
        <v>20</v>
      </c>
      <c r="O108" s="18"/>
      <c r="P108" s="19"/>
      <c r="Q108" s="19" t="s">
        <v>6144</v>
      </c>
      <c r="R108" s="19" t="s">
        <v>6948</v>
      </c>
      <c r="S108" s="59">
        <v>7.491786</v>
      </c>
      <c r="T108" s="59">
        <v>43.850612</v>
      </c>
      <c r="U108" s="19">
        <v>32</v>
      </c>
      <c r="V108" s="3">
        <v>378777</v>
      </c>
      <c r="W108" s="3">
        <v>4856386</v>
      </c>
      <c r="X108" s="59">
        <v>5.727812</v>
      </c>
      <c r="Y108" s="59">
        <v>48.722874</v>
      </c>
      <c r="Z108" s="18"/>
      <c r="AA108" s="19" t="s">
        <v>5176</v>
      </c>
      <c r="AB108" s="11">
        <v>2019</v>
      </c>
      <c r="AC108" s="60">
        <v>43525</v>
      </c>
      <c r="AD108" s="54"/>
      <c r="AE108" s="61" t="s">
        <v>6145</v>
      </c>
    </row>
    <row r="109" spans="1:31" ht="12.75">
      <c r="A109" s="4" t="s">
        <v>6146</v>
      </c>
      <c r="B109" s="1" t="s">
        <v>5128</v>
      </c>
      <c r="C109" s="1" t="s">
        <v>6147</v>
      </c>
      <c r="D109" s="1" t="s">
        <v>6148</v>
      </c>
      <c r="E109" s="2">
        <v>1180</v>
      </c>
      <c r="F109" s="2">
        <v>61</v>
      </c>
      <c r="G109" s="3" t="s">
        <v>6149</v>
      </c>
      <c r="H109" s="3" t="s">
        <v>6150</v>
      </c>
      <c r="I109" s="3" t="s">
        <v>6151</v>
      </c>
      <c r="J109" s="44" t="str">
        <f>HYPERLINK("https://www.centcols.org/util/geo/visuGen.php?code=FR-06-1180","FR-06-1180")</f>
        <v>FR-06-1180</v>
      </c>
      <c r="K109" s="3"/>
      <c r="L109" s="1"/>
      <c r="M109" s="8">
        <v>99</v>
      </c>
      <c r="N109" s="8">
        <v>20</v>
      </c>
      <c r="O109" s="4"/>
      <c r="P109" s="3"/>
      <c r="Q109" s="3" t="s">
        <v>6152</v>
      </c>
      <c r="R109" s="3" t="s">
        <v>6153</v>
      </c>
      <c r="S109" s="25">
        <v>7.11348477406284</v>
      </c>
      <c r="T109" s="25">
        <v>44.10152162181954</v>
      </c>
      <c r="U109" s="2">
        <v>32</v>
      </c>
      <c r="V109" s="3">
        <v>349008</v>
      </c>
      <c r="W109" s="3">
        <v>4884879</v>
      </c>
      <c r="X109" s="25">
        <v>5.307496015884592</v>
      </c>
      <c r="Y109" s="25">
        <v>49.00167189400369</v>
      </c>
      <c r="Z109" s="6"/>
      <c r="AA109" s="7" t="s">
        <v>5176</v>
      </c>
      <c r="AB109" s="8" t="s">
        <v>6154</v>
      </c>
      <c r="AC109" s="9"/>
      <c r="AD109" s="10">
        <v>1</v>
      </c>
      <c r="AE109" s="31" t="s">
        <v>6155</v>
      </c>
    </row>
    <row r="110" spans="1:31" ht="12.75">
      <c r="A110" s="4" t="s">
        <v>6156</v>
      </c>
      <c r="B110" s="1" t="s">
        <v>6094</v>
      </c>
      <c r="C110" s="1" t="s">
        <v>6157</v>
      </c>
      <c r="D110" s="1" t="s">
        <v>6158</v>
      </c>
      <c r="E110" s="2">
        <v>1255</v>
      </c>
      <c r="F110" s="2">
        <v>61</v>
      </c>
      <c r="G110" s="3" t="s">
        <v>6037</v>
      </c>
      <c r="H110" s="3" t="s">
        <v>6159</v>
      </c>
      <c r="I110" s="3" t="s">
        <v>6160</v>
      </c>
      <c r="J110" s="44" t="str">
        <f>HYPERLINK("https://www.centcols.org/util/geo/visuGen.php?code=FR-06-1255","FR-06-1255")</f>
        <v>FR-06-1255</v>
      </c>
      <c r="K110" s="3"/>
      <c r="L110" s="1" t="s">
        <v>6161</v>
      </c>
      <c r="M110" s="8">
        <v>2</v>
      </c>
      <c r="N110" s="8">
        <v>10</v>
      </c>
      <c r="O110" s="4"/>
      <c r="P110" s="3"/>
      <c r="Q110" s="3" t="s">
        <v>6162</v>
      </c>
      <c r="R110" s="3" t="s">
        <v>6163</v>
      </c>
      <c r="S110" s="25">
        <v>7.045707111180844</v>
      </c>
      <c r="T110" s="25">
        <v>43.968617385367764</v>
      </c>
      <c r="U110" s="2">
        <v>32</v>
      </c>
      <c r="V110" s="3">
        <v>343233</v>
      </c>
      <c r="W110" s="3">
        <v>4870244</v>
      </c>
      <c r="X110" s="25">
        <v>5.232181187635431</v>
      </c>
      <c r="Y110" s="25">
        <v>48.854</v>
      </c>
      <c r="Z110" s="6"/>
      <c r="AA110" s="7" t="s">
        <v>5176</v>
      </c>
      <c r="AB110" s="8" t="s">
        <v>5802</v>
      </c>
      <c r="AC110" s="9"/>
      <c r="AD110" s="10">
        <v>1</v>
      </c>
      <c r="AE110" s="31" t="s">
        <v>6164</v>
      </c>
    </row>
    <row r="111" spans="1:31" ht="12.75">
      <c r="A111" s="4" t="s">
        <v>6165</v>
      </c>
      <c r="B111" s="1" t="s">
        <v>6094</v>
      </c>
      <c r="C111" s="1" t="s">
        <v>6166</v>
      </c>
      <c r="D111" s="1" t="s">
        <v>6167</v>
      </c>
      <c r="E111" s="2">
        <v>1315</v>
      </c>
      <c r="F111" s="2">
        <v>61</v>
      </c>
      <c r="G111" s="3" t="s">
        <v>5964</v>
      </c>
      <c r="H111" s="3" t="s">
        <v>6168</v>
      </c>
      <c r="I111" s="3" t="s">
        <v>6169</v>
      </c>
      <c r="J111" s="44" t="str">
        <f>HYPERLINK("https://www.centcols.org/util/geo/visuGen.php?code=FR-06-1315","FR-06-1315")</f>
        <v>FR-06-1315</v>
      </c>
      <c r="K111" s="3"/>
      <c r="L111" s="1"/>
      <c r="M111" s="8">
        <v>99</v>
      </c>
      <c r="N111" s="8">
        <v>20</v>
      </c>
      <c r="O111" s="4"/>
      <c r="P111" s="3"/>
      <c r="Q111" s="3" t="s">
        <v>6170</v>
      </c>
      <c r="R111" s="3" t="s">
        <v>6171</v>
      </c>
      <c r="S111" s="25">
        <v>7.293458023051782</v>
      </c>
      <c r="T111" s="25">
        <v>43.90349708666828</v>
      </c>
      <c r="U111" s="2">
        <v>32</v>
      </c>
      <c r="V111" s="3">
        <v>362957</v>
      </c>
      <c r="W111" s="3">
        <v>4862570</v>
      </c>
      <c r="X111" s="25">
        <v>5.5074561668345305</v>
      </c>
      <c r="Y111" s="25">
        <v>48.7816383241981</v>
      </c>
      <c r="Z111" s="6"/>
      <c r="AA111" s="7" t="s">
        <v>5176</v>
      </c>
      <c r="AB111" s="8" t="s">
        <v>6110</v>
      </c>
      <c r="AC111" s="9"/>
      <c r="AD111" s="10">
        <v>1</v>
      </c>
      <c r="AE111" s="31" t="s">
        <v>6172</v>
      </c>
    </row>
    <row r="112" spans="1:31" ht="12.75">
      <c r="A112" s="18" t="s">
        <v>6173</v>
      </c>
      <c r="B112" s="20" t="s">
        <v>5981</v>
      </c>
      <c r="C112" s="20" t="s">
        <v>6174</v>
      </c>
      <c r="D112" s="20" t="s">
        <v>6175</v>
      </c>
      <c r="E112" s="19">
        <v>1348</v>
      </c>
      <c r="F112" s="14">
        <v>61</v>
      </c>
      <c r="G112" s="19" t="s">
        <v>6037</v>
      </c>
      <c r="H112" s="19" t="s">
        <v>6176</v>
      </c>
      <c r="I112" s="19" t="s">
        <v>6177</v>
      </c>
      <c r="J112" s="44" t="str">
        <f>HYPERLINK("https://www.centcols.org/util/geo/visuGen.php?code=FR-06-1348","FR-06-1348")</f>
        <v>FR-06-1348</v>
      </c>
      <c r="K112" s="19"/>
      <c r="L112" s="20" t="s">
        <v>6178</v>
      </c>
      <c r="M112" s="19">
        <v>1</v>
      </c>
      <c r="N112" s="19">
        <v>10</v>
      </c>
      <c r="O112" s="18"/>
      <c r="P112" s="19"/>
      <c r="Q112" s="19" t="s">
        <v>6179</v>
      </c>
      <c r="R112" s="19" t="s">
        <v>6180</v>
      </c>
      <c r="S112" s="59">
        <v>7.06036</v>
      </c>
      <c r="T112" s="59">
        <v>43.990586</v>
      </c>
      <c r="U112" s="19">
        <v>32</v>
      </c>
      <c r="V112" s="3">
        <v>344465</v>
      </c>
      <c r="W112" s="3">
        <v>4872656</v>
      </c>
      <c r="X112" s="59">
        <v>5.738568</v>
      </c>
      <c r="Y112" s="59">
        <v>48.87055</v>
      </c>
      <c r="Z112" s="18"/>
      <c r="AA112" s="11" t="s">
        <v>5176</v>
      </c>
      <c r="AB112" s="11">
        <v>2018</v>
      </c>
      <c r="AC112" s="12">
        <v>43250</v>
      </c>
      <c r="AD112" s="11"/>
      <c r="AE112" s="23" t="s">
        <v>5631</v>
      </c>
    </row>
    <row r="113" spans="1:31" ht="22.5">
      <c r="A113" s="4" t="s">
        <v>6181</v>
      </c>
      <c r="B113" s="1" t="s">
        <v>6182</v>
      </c>
      <c r="C113" s="1" t="s">
        <v>6183</v>
      </c>
      <c r="D113" s="1" t="s">
        <v>6184</v>
      </c>
      <c r="E113" s="2">
        <v>1459</v>
      </c>
      <c r="F113" s="2">
        <v>61</v>
      </c>
      <c r="G113" s="3" t="s">
        <v>6185</v>
      </c>
      <c r="H113" s="3" t="s">
        <v>6186</v>
      </c>
      <c r="I113" s="3" t="s">
        <v>6187</v>
      </c>
      <c r="J113" s="44" t="str">
        <f>HYPERLINK("https://www.centcols.org/util/geo/visuGen.php?code=FR-06-1459","FR-06-1459")</f>
        <v>FR-06-1459</v>
      </c>
      <c r="K113" s="3" t="s">
        <v>6188</v>
      </c>
      <c r="L113" s="1" t="s">
        <v>5157</v>
      </c>
      <c r="M113" s="8">
        <v>0</v>
      </c>
      <c r="N113" s="8">
        <v>0</v>
      </c>
      <c r="O113" s="4"/>
      <c r="P113" s="3"/>
      <c r="Q113" s="3" t="s">
        <v>6189</v>
      </c>
      <c r="R113" s="3" t="s">
        <v>6190</v>
      </c>
      <c r="S113" s="25">
        <v>6.906158</v>
      </c>
      <c r="T113" s="25">
        <v>44.089062</v>
      </c>
      <c r="U113" s="2">
        <v>32</v>
      </c>
      <c r="V113" s="3">
        <v>332378</v>
      </c>
      <c r="W113" s="3">
        <v>4883896</v>
      </c>
      <c r="X113" s="25">
        <v>5.07714</v>
      </c>
      <c r="Y113" s="25">
        <v>48.98783</v>
      </c>
      <c r="Z113" s="6"/>
      <c r="AA113" s="7" t="s">
        <v>5138</v>
      </c>
      <c r="AB113" s="8">
        <v>2016</v>
      </c>
      <c r="AC113" s="9">
        <v>42593</v>
      </c>
      <c r="AD113" s="10"/>
      <c r="AE113" s="31" t="s">
        <v>6191</v>
      </c>
    </row>
    <row r="114" spans="1:31" ht="12.75">
      <c r="A114" s="4" t="s">
        <v>6192</v>
      </c>
      <c r="B114" s="1" t="s">
        <v>5991</v>
      </c>
      <c r="C114" s="1" t="s">
        <v>6193</v>
      </c>
      <c r="D114" s="1" t="s">
        <v>6194</v>
      </c>
      <c r="E114" s="2">
        <v>1636</v>
      </c>
      <c r="F114" s="2">
        <v>61</v>
      </c>
      <c r="G114" s="3" t="s">
        <v>6195</v>
      </c>
      <c r="H114" s="3" t="s">
        <v>6196</v>
      </c>
      <c r="I114" s="3" t="s">
        <v>6197</v>
      </c>
      <c r="J114" s="44" t="str">
        <f>HYPERLINK("https://www.centcols.org/util/geo/visuGen.php?code=FR-06-1636","FR-06-1636")</f>
        <v>FR-06-1636</v>
      </c>
      <c r="K114" s="3"/>
      <c r="L114" s="1" t="s">
        <v>5257</v>
      </c>
      <c r="M114" s="8">
        <v>1</v>
      </c>
      <c r="N114" s="8">
        <v>10</v>
      </c>
      <c r="O114" s="4"/>
      <c r="P114" s="3"/>
      <c r="Q114" s="3" t="s">
        <v>6198</v>
      </c>
      <c r="R114" s="3" t="s">
        <v>6199</v>
      </c>
      <c r="S114" s="25">
        <v>7.6687802701079155</v>
      </c>
      <c r="T114" s="25">
        <v>44.041036407391694</v>
      </c>
      <c r="U114" s="2">
        <v>32</v>
      </c>
      <c r="V114" s="3">
        <v>393344</v>
      </c>
      <c r="W114" s="3">
        <v>4877292</v>
      </c>
      <c r="X114" s="25">
        <v>5.924468864939794</v>
      </c>
      <c r="Y114" s="25">
        <v>48.934459461815386</v>
      </c>
      <c r="Z114" s="6"/>
      <c r="AA114" s="7" t="s">
        <v>5138</v>
      </c>
      <c r="AB114" s="8" t="s">
        <v>6200</v>
      </c>
      <c r="AC114" s="9">
        <v>41386</v>
      </c>
      <c r="AD114" s="10">
        <v>30</v>
      </c>
      <c r="AE114" s="31" t="s">
        <v>6201</v>
      </c>
    </row>
    <row r="115" spans="1:31" ht="12.75">
      <c r="A115" s="4" t="s">
        <v>6202</v>
      </c>
      <c r="B115" s="1" t="s">
        <v>6076</v>
      </c>
      <c r="C115" s="1" t="s">
        <v>6203</v>
      </c>
      <c r="D115" s="1" t="s">
        <v>6204</v>
      </c>
      <c r="E115" s="2">
        <v>1694</v>
      </c>
      <c r="F115" s="2">
        <v>61</v>
      </c>
      <c r="G115" s="3" t="s">
        <v>6149</v>
      </c>
      <c r="H115" s="3" t="s">
        <v>6205</v>
      </c>
      <c r="I115" s="3" t="s">
        <v>6206</v>
      </c>
      <c r="J115" s="44" t="str">
        <f>HYPERLINK("https://www.centcols.org/util/geo/visuGen.php?code=FR-06-1694a","FR-06-1694a")</f>
        <v>FR-06-1694a</v>
      </c>
      <c r="K115" s="3"/>
      <c r="L115" s="1" t="s">
        <v>6207</v>
      </c>
      <c r="M115" s="8">
        <v>35</v>
      </c>
      <c r="N115" s="8">
        <v>10</v>
      </c>
      <c r="O115" s="4"/>
      <c r="P115" s="3"/>
      <c r="Q115" s="3" t="s">
        <v>6208</v>
      </c>
      <c r="R115" s="3" t="s">
        <v>6209</v>
      </c>
      <c r="S115" s="25">
        <v>7.045939</v>
      </c>
      <c r="T115" s="25">
        <v>44.16789</v>
      </c>
      <c r="U115" s="2">
        <v>32</v>
      </c>
      <c r="V115" s="3">
        <v>343776</v>
      </c>
      <c r="W115" s="3">
        <v>4892377</v>
      </c>
      <c r="X115" s="25">
        <v>5.232448</v>
      </c>
      <c r="Y115" s="25">
        <v>49.075416</v>
      </c>
      <c r="Z115" s="6"/>
      <c r="AA115" s="7" t="s">
        <v>5138</v>
      </c>
      <c r="AB115" s="8">
        <v>2016</v>
      </c>
      <c r="AC115" s="9">
        <v>42593</v>
      </c>
      <c r="AD115" s="10"/>
      <c r="AE115" s="31" t="s">
        <v>6210</v>
      </c>
    </row>
    <row r="116" spans="1:31" ht="12.75">
      <c r="A116" s="4" t="s">
        <v>6211</v>
      </c>
      <c r="B116" s="1" t="s">
        <v>6094</v>
      </c>
      <c r="C116" s="1" t="s">
        <v>6212</v>
      </c>
      <c r="D116" s="1" t="s">
        <v>6213</v>
      </c>
      <c r="E116" s="2">
        <v>1760</v>
      </c>
      <c r="F116" s="2">
        <v>61</v>
      </c>
      <c r="G116" s="3" t="s">
        <v>5723</v>
      </c>
      <c r="H116" s="3" t="s">
        <v>6214</v>
      </c>
      <c r="I116" s="3" t="s">
        <v>6215</v>
      </c>
      <c r="J116" s="44" t="str">
        <f>HYPERLINK("https://www.centcols.org/util/geo/visuGen.php?code=FR-06-1760","FR-06-1760")</f>
        <v>FR-06-1760</v>
      </c>
      <c r="K116" s="3"/>
      <c r="L116" s="1" t="s">
        <v>6216</v>
      </c>
      <c r="M116" s="8">
        <v>99</v>
      </c>
      <c r="N116" s="8">
        <v>15</v>
      </c>
      <c r="O116" s="4"/>
      <c r="P116" s="3"/>
      <c r="Q116" s="3" t="s">
        <v>6217</v>
      </c>
      <c r="R116" s="3" t="s">
        <v>6218</v>
      </c>
      <c r="S116" s="25">
        <v>6.825047570238241</v>
      </c>
      <c r="T116" s="25">
        <v>44.14158693621005</v>
      </c>
      <c r="U116" s="2">
        <v>32</v>
      </c>
      <c r="V116" s="3">
        <v>326039</v>
      </c>
      <c r="W116" s="3">
        <v>4889899</v>
      </c>
      <c r="X116" s="25">
        <v>4.987020515984703</v>
      </c>
      <c r="Y116" s="25">
        <v>49.04619291771034</v>
      </c>
      <c r="Z116" s="6"/>
      <c r="AA116" s="7" t="s">
        <v>5176</v>
      </c>
      <c r="AB116" s="8" t="s">
        <v>6110</v>
      </c>
      <c r="AC116" s="9"/>
      <c r="AD116" s="10">
        <v>1</v>
      </c>
      <c r="AE116" s="31" t="s">
        <v>6219</v>
      </c>
    </row>
    <row r="117" spans="1:31" ht="12.75">
      <c r="A117" s="4" t="s">
        <v>6220</v>
      </c>
      <c r="B117" s="1" t="s">
        <v>5815</v>
      </c>
      <c r="C117" s="1" t="s">
        <v>6221</v>
      </c>
      <c r="D117" s="1" t="s">
        <v>6222</v>
      </c>
      <c r="E117" s="2">
        <v>1715</v>
      </c>
      <c r="F117" s="2">
        <v>61</v>
      </c>
      <c r="G117" s="3" t="s">
        <v>6223</v>
      </c>
      <c r="H117" s="3" t="s">
        <v>6224</v>
      </c>
      <c r="I117" s="3" t="s">
        <v>6225</v>
      </c>
      <c r="J117" s="44" t="str">
        <f>HYPERLINK("https://www.centcols.org/util/geo/visuGen.php?code=FR-06-1775","FR-06-1775")</f>
        <v>FR-06-1775</v>
      </c>
      <c r="K117" s="3"/>
      <c r="L117" s="1" t="s">
        <v>6226</v>
      </c>
      <c r="M117" s="8">
        <v>35</v>
      </c>
      <c r="N117" s="8">
        <v>10</v>
      </c>
      <c r="O117" s="4"/>
      <c r="P117" s="3"/>
      <c r="Q117" s="3" t="s">
        <v>6227</v>
      </c>
      <c r="R117" s="3" t="s">
        <v>6228</v>
      </c>
      <c r="S117" s="25">
        <v>7.383931106953621</v>
      </c>
      <c r="T117" s="25">
        <v>43.97016888307433</v>
      </c>
      <c r="U117" s="2">
        <v>32</v>
      </c>
      <c r="V117" s="3">
        <v>370368</v>
      </c>
      <c r="W117" s="3">
        <v>4869829</v>
      </c>
      <c r="X117" s="25">
        <v>5.60797928381757</v>
      </c>
      <c r="Y117" s="25">
        <v>48.855720110893564</v>
      </c>
      <c r="Z117" s="6"/>
      <c r="AA117" s="7" t="s">
        <v>5138</v>
      </c>
      <c r="AB117" s="8" t="s">
        <v>5571</v>
      </c>
      <c r="AC117" s="9">
        <v>41312</v>
      </c>
      <c r="AD117" s="10">
        <v>24</v>
      </c>
      <c r="AE117" s="31" t="s">
        <v>6229</v>
      </c>
    </row>
    <row r="118" spans="1:31" ht="12.75">
      <c r="A118" s="4" t="s">
        <v>6230</v>
      </c>
      <c r="B118" s="1" t="s">
        <v>6076</v>
      </c>
      <c r="C118" s="1" t="s">
        <v>6231</v>
      </c>
      <c r="D118" s="1" t="s">
        <v>6232</v>
      </c>
      <c r="E118" s="2">
        <v>2198</v>
      </c>
      <c r="F118" s="2">
        <v>61</v>
      </c>
      <c r="G118" s="3" t="s">
        <v>6233</v>
      </c>
      <c r="H118" s="3" t="s">
        <v>6234</v>
      </c>
      <c r="I118" s="3" t="s">
        <v>6235</v>
      </c>
      <c r="J118" s="44" t="str">
        <f>HYPERLINK("https://www.centcols.org/util/geo/visuGen.php?code=FR-06-2198","FR-06-2198")</f>
        <v>FR-06-2198</v>
      </c>
      <c r="K118" s="3"/>
      <c r="L118" s="1"/>
      <c r="M118" s="8">
        <v>99</v>
      </c>
      <c r="N118" s="8">
        <v>20</v>
      </c>
      <c r="O118" s="4"/>
      <c r="P118" s="3"/>
      <c r="Q118" s="3" t="s">
        <v>6236</v>
      </c>
      <c r="R118" s="3" t="s">
        <v>6237</v>
      </c>
      <c r="S118" s="25">
        <v>6.98598481708291</v>
      </c>
      <c r="T118" s="25">
        <v>44.17729600280964</v>
      </c>
      <c r="U118" s="2">
        <v>32</v>
      </c>
      <c r="V118" s="3">
        <v>339009</v>
      </c>
      <c r="W118" s="3">
        <v>4893537</v>
      </c>
      <c r="X118" s="25">
        <v>5.165834626467636</v>
      </c>
      <c r="Y118" s="25">
        <v>49.08586883638751</v>
      </c>
      <c r="Z118" s="6"/>
      <c r="AA118" s="7" t="s">
        <v>5176</v>
      </c>
      <c r="AB118" s="8" t="s">
        <v>6238</v>
      </c>
      <c r="AC118" s="9"/>
      <c r="AD118" s="10">
        <v>1</v>
      </c>
      <c r="AE118" s="31" t="s">
        <v>6239</v>
      </c>
    </row>
    <row r="119" spans="1:31" ht="12.75">
      <c r="A119" s="4" t="s">
        <v>6240</v>
      </c>
      <c r="B119" s="1" t="s">
        <v>6241</v>
      </c>
      <c r="C119" s="1" t="s">
        <v>6242</v>
      </c>
      <c r="D119" s="1" t="s">
        <v>6243</v>
      </c>
      <c r="E119" s="2">
        <v>2435</v>
      </c>
      <c r="F119" s="2">
        <v>61</v>
      </c>
      <c r="G119" s="3" t="s">
        <v>5723</v>
      </c>
      <c r="H119" s="3" t="s">
        <v>6244</v>
      </c>
      <c r="I119" s="3" t="s">
        <v>6245</v>
      </c>
      <c r="J119" s="44" t="str">
        <f>HYPERLINK("https://www.centcols.org/util/geo/visuGen.php?code=FR-06-2435","FR-06-2435")</f>
        <v>FR-06-2435</v>
      </c>
      <c r="K119" s="3"/>
      <c r="L119" s="1" t="s">
        <v>6246</v>
      </c>
      <c r="M119" s="8">
        <v>99</v>
      </c>
      <c r="N119" s="8">
        <v>15</v>
      </c>
      <c r="O119" s="4"/>
      <c r="P119" s="3"/>
      <c r="Q119" s="3" t="s">
        <v>6247</v>
      </c>
      <c r="R119" s="3" t="s">
        <v>6248</v>
      </c>
      <c r="S119" s="25">
        <v>6.81092364874232</v>
      </c>
      <c r="T119" s="25">
        <v>44.17474005005322</v>
      </c>
      <c r="U119" s="2">
        <v>32</v>
      </c>
      <c r="V119" s="3">
        <v>325007</v>
      </c>
      <c r="W119" s="3">
        <v>4893611</v>
      </c>
      <c r="X119" s="25">
        <v>4.9713280905733255</v>
      </c>
      <c r="Y119" s="25">
        <v>49.083030663153565</v>
      </c>
      <c r="Z119" s="6"/>
      <c r="AA119" s="7" t="s">
        <v>5138</v>
      </c>
      <c r="AB119" s="8" t="s">
        <v>5571</v>
      </c>
      <c r="AC119" s="9">
        <v>41313</v>
      </c>
      <c r="AD119" s="10">
        <v>25</v>
      </c>
      <c r="AE119" s="31" t="s">
        <v>6229</v>
      </c>
    </row>
    <row r="120" spans="1:31" ht="12.75">
      <c r="A120" s="4" t="s">
        <v>6249</v>
      </c>
      <c r="B120" s="1" t="s">
        <v>6250</v>
      </c>
      <c r="C120" s="1" t="s">
        <v>6251</v>
      </c>
      <c r="D120" s="1" t="s">
        <v>6252</v>
      </c>
      <c r="E120" s="2">
        <v>2580</v>
      </c>
      <c r="F120" s="2">
        <v>61</v>
      </c>
      <c r="G120" s="3" t="s">
        <v>6253</v>
      </c>
      <c r="H120" s="3" t="s">
        <v>6254</v>
      </c>
      <c r="I120" s="3" t="s">
        <v>6255</v>
      </c>
      <c r="J120" s="44" t="str">
        <f>HYPERLINK("https://www.centcols.org/util/geo/visuGen.php?code=FR-06-2580a","FR-06-2580a")</f>
        <v>FR-06-2580a</v>
      </c>
      <c r="K120" s="3"/>
      <c r="L120" s="1"/>
      <c r="M120" s="8">
        <v>99</v>
      </c>
      <c r="N120" s="8">
        <v>20</v>
      </c>
      <c r="O120" s="4"/>
      <c r="P120" s="3"/>
      <c r="Q120" s="3" t="s">
        <v>6256</v>
      </c>
      <c r="R120" s="3" t="s">
        <v>6257</v>
      </c>
      <c r="S120" s="25">
        <v>7.279105</v>
      </c>
      <c r="T120" s="25">
        <v>44.138651</v>
      </c>
      <c r="U120" s="2">
        <v>32</v>
      </c>
      <c r="V120" s="3">
        <v>362350</v>
      </c>
      <c r="W120" s="3">
        <v>4888712</v>
      </c>
      <c r="X120" s="25">
        <v>5.491513</v>
      </c>
      <c r="Y120" s="25">
        <v>49.042927</v>
      </c>
      <c r="Z120" s="6"/>
      <c r="AA120" s="7" t="s">
        <v>5138</v>
      </c>
      <c r="AB120" s="8">
        <v>2017</v>
      </c>
      <c r="AC120" s="9"/>
      <c r="AD120" s="10"/>
      <c r="AE120" s="31" t="s">
        <v>6258</v>
      </c>
    </row>
    <row r="121" spans="1:31" ht="22.5">
      <c r="A121" s="50" t="s">
        <v>1094</v>
      </c>
      <c r="B121" s="55" t="s">
        <v>1095</v>
      </c>
      <c r="C121" s="55" t="s">
        <v>1096</v>
      </c>
      <c r="D121" s="55" t="s">
        <v>1097</v>
      </c>
      <c r="E121" s="58">
        <v>2609</v>
      </c>
      <c r="F121" s="47">
        <v>61</v>
      </c>
      <c r="G121" s="47" t="s">
        <v>6149</v>
      </c>
      <c r="H121" s="47" t="s">
        <v>1098</v>
      </c>
      <c r="I121" s="47" t="s">
        <v>1099</v>
      </c>
      <c r="J121" s="44" t="str">
        <f>HYPERLINK("https://www.centcols.org/util/geo/visuGen.php?code=FR-06-2609","FR-06-2609")</f>
        <v>FR-06-2609</v>
      </c>
      <c r="K121" s="48"/>
      <c r="L121" s="55" t="s">
        <v>5176</v>
      </c>
      <c r="M121" s="58">
        <v>99</v>
      </c>
      <c r="N121" s="58">
        <v>15</v>
      </c>
      <c r="O121" s="48"/>
      <c r="P121" s="58"/>
      <c r="Q121" s="47" t="s">
        <v>1100</v>
      </c>
      <c r="R121" s="47" t="s">
        <v>6949</v>
      </c>
      <c r="S121" s="116">
        <v>7.056</v>
      </c>
      <c r="T121" s="116">
        <v>44.22971</v>
      </c>
      <c r="U121" s="47">
        <v>32</v>
      </c>
      <c r="V121" s="3">
        <v>344743</v>
      </c>
      <c r="W121" s="3">
        <v>4899224</v>
      </c>
      <c r="X121" s="115">
        <v>5.243622</v>
      </c>
      <c r="Y121" s="115">
        <v>49.144105</v>
      </c>
      <c r="Z121" s="48"/>
      <c r="AA121" s="7" t="s">
        <v>5138</v>
      </c>
      <c r="AB121" s="49">
        <v>2020</v>
      </c>
      <c r="AE121" s="34" t="s">
        <v>1141</v>
      </c>
    </row>
    <row r="122" spans="1:31" ht="12.75">
      <c r="A122" s="4" t="s">
        <v>6259</v>
      </c>
      <c r="B122" s="1" t="s">
        <v>6260</v>
      </c>
      <c r="C122" s="1" t="s">
        <v>6261</v>
      </c>
      <c r="D122" s="1" t="s">
        <v>6262</v>
      </c>
      <c r="E122" s="2">
        <v>180</v>
      </c>
      <c r="F122" s="2">
        <v>59</v>
      </c>
      <c r="G122" s="3" t="s">
        <v>6263</v>
      </c>
      <c r="H122" s="3" t="s">
        <v>6264</v>
      </c>
      <c r="I122" s="3" t="s">
        <v>6265</v>
      </c>
      <c r="J122" s="44" t="str">
        <f>HYPERLINK("https://www.centcols.org/util/geo/visuGen.php?code=FR-07-0180","FR-07-0180")</f>
        <v>FR-07-0180</v>
      </c>
      <c r="K122" s="3"/>
      <c r="L122" s="1"/>
      <c r="M122" s="8">
        <v>99</v>
      </c>
      <c r="N122" s="8">
        <v>20</v>
      </c>
      <c r="O122" s="4"/>
      <c r="P122" s="3"/>
      <c r="Q122" s="3" t="s">
        <v>6266</v>
      </c>
      <c r="R122" s="3" t="s">
        <v>6267</v>
      </c>
      <c r="S122" s="25">
        <v>4.35404987105032</v>
      </c>
      <c r="T122" s="25">
        <v>44.434980369856994</v>
      </c>
      <c r="U122" s="2">
        <v>31</v>
      </c>
      <c r="V122" s="3">
        <v>607764</v>
      </c>
      <c r="W122" s="3">
        <v>4921079</v>
      </c>
      <c r="X122" s="25">
        <v>2.2415658293536245</v>
      </c>
      <c r="Y122" s="25">
        <v>49.37221117335013</v>
      </c>
      <c r="Z122" s="6"/>
      <c r="AA122" s="7" t="s">
        <v>5138</v>
      </c>
      <c r="AB122" s="8">
        <v>2008</v>
      </c>
      <c r="AC122" s="9"/>
      <c r="AD122" s="10">
        <v>1</v>
      </c>
      <c r="AE122" s="31" t="s">
        <v>6268</v>
      </c>
    </row>
    <row r="123" spans="1:31" ht="12.75">
      <c r="A123" s="4" t="s">
        <v>6269</v>
      </c>
      <c r="B123" s="1" t="s">
        <v>5534</v>
      </c>
      <c r="C123" s="1" t="s">
        <v>6270</v>
      </c>
      <c r="D123" s="1" t="s">
        <v>6271</v>
      </c>
      <c r="E123" s="2">
        <v>229</v>
      </c>
      <c r="F123" s="2">
        <v>59</v>
      </c>
      <c r="G123" s="3" t="s">
        <v>6272</v>
      </c>
      <c r="H123" s="3" t="s">
        <v>6273</v>
      </c>
      <c r="I123" s="3" t="s">
        <v>6274</v>
      </c>
      <c r="J123" s="44" t="str">
        <f>HYPERLINK("https://www.centcols.org/util/geo/visuGen.php?code=FR-07-0229","FR-07-0229")</f>
        <v>FR-07-0229</v>
      </c>
      <c r="K123" s="3" t="s">
        <v>6275</v>
      </c>
      <c r="L123" s="1" t="s">
        <v>6276</v>
      </c>
      <c r="M123" s="8">
        <v>0</v>
      </c>
      <c r="N123" s="8">
        <v>0</v>
      </c>
      <c r="O123" s="4"/>
      <c r="P123" s="3"/>
      <c r="Q123" s="3" t="s">
        <v>6277</v>
      </c>
      <c r="R123" s="3" t="s">
        <v>6278</v>
      </c>
      <c r="S123" s="25">
        <v>4.1673806710502985</v>
      </c>
      <c r="T123" s="25">
        <v>44.350605665629786</v>
      </c>
      <c r="U123" s="2">
        <v>31</v>
      </c>
      <c r="V123" s="3">
        <v>593041</v>
      </c>
      <c r="W123" s="3">
        <v>4911478</v>
      </c>
      <c r="X123" s="25">
        <v>2.0341608444670407</v>
      </c>
      <c r="Y123" s="25">
        <v>49.27845972650921</v>
      </c>
      <c r="Z123" s="6"/>
      <c r="AA123" s="7" t="s">
        <v>5138</v>
      </c>
      <c r="AB123" s="8">
        <v>2005</v>
      </c>
      <c r="AC123" s="9"/>
      <c r="AD123" s="10">
        <v>1</v>
      </c>
      <c r="AE123" s="31" t="s">
        <v>6279</v>
      </c>
    </row>
    <row r="124" spans="1:31" ht="12.75">
      <c r="A124" s="4" t="s">
        <v>6280</v>
      </c>
      <c r="B124" s="1" t="s">
        <v>5815</v>
      </c>
      <c r="C124" s="1" t="s">
        <v>6281</v>
      </c>
      <c r="D124" s="1" t="s">
        <v>6282</v>
      </c>
      <c r="E124" s="2">
        <v>231</v>
      </c>
      <c r="F124" s="2">
        <v>59</v>
      </c>
      <c r="G124" s="3" t="s">
        <v>6283</v>
      </c>
      <c r="H124" s="3" t="s">
        <v>6284</v>
      </c>
      <c r="I124" s="3" t="s">
        <v>6285</v>
      </c>
      <c r="J124" s="44" t="str">
        <f>HYPERLINK("https://www.centcols.org/util/geo/visuGen.php?code=FR-07-0231","FR-07-0231")</f>
        <v>FR-07-0231</v>
      </c>
      <c r="K124" s="3" t="s">
        <v>6286</v>
      </c>
      <c r="L124" s="1" t="s">
        <v>6287</v>
      </c>
      <c r="M124" s="8">
        <v>0</v>
      </c>
      <c r="N124" s="8">
        <v>0</v>
      </c>
      <c r="O124" s="4"/>
      <c r="P124" s="3"/>
      <c r="Q124" s="3" t="s">
        <v>6288</v>
      </c>
      <c r="R124" s="3" t="s">
        <v>6289</v>
      </c>
      <c r="S124" s="25">
        <v>4.350825116588617</v>
      </c>
      <c r="T124" s="25">
        <v>44.522430612816564</v>
      </c>
      <c r="U124" s="2">
        <v>31</v>
      </c>
      <c r="V124" s="3">
        <v>607347</v>
      </c>
      <c r="W124" s="3">
        <v>4930788</v>
      </c>
      <c r="X124" s="25">
        <v>2.2379843267470365</v>
      </c>
      <c r="Y124" s="25">
        <v>49.46937954580863</v>
      </c>
      <c r="Z124" s="6"/>
      <c r="AA124" s="7" t="s">
        <v>5138</v>
      </c>
      <c r="AB124" s="8">
        <v>2015</v>
      </c>
      <c r="AC124" s="9">
        <v>42045</v>
      </c>
      <c r="AD124" s="10"/>
      <c r="AE124" s="31" t="s">
        <v>6290</v>
      </c>
    </row>
    <row r="125" spans="1:31" ht="12.75">
      <c r="A125" s="4" t="s">
        <v>6291</v>
      </c>
      <c r="B125" s="1" t="s">
        <v>5741</v>
      </c>
      <c r="C125" s="1" t="s">
        <v>6292</v>
      </c>
      <c r="D125" s="1" t="s">
        <v>6293</v>
      </c>
      <c r="E125" s="2">
        <v>230</v>
      </c>
      <c r="F125" s="2">
        <v>59</v>
      </c>
      <c r="G125" s="3" t="s">
        <v>6263</v>
      </c>
      <c r="H125" s="3" t="s">
        <v>6294</v>
      </c>
      <c r="I125" s="3" t="s">
        <v>6295</v>
      </c>
      <c r="J125" s="44" t="str">
        <f>HYPERLINK("https://www.centcols.org/util/geo/visuGen.php?code=FR-07-0245","FR-07-0245")</f>
        <v>FR-07-0245</v>
      </c>
      <c r="K125" s="3"/>
      <c r="L125" s="1" t="s">
        <v>5176</v>
      </c>
      <c r="M125" s="8">
        <v>99</v>
      </c>
      <c r="N125" s="8">
        <v>20</v>
      </c>
      <c r="O125" s="4"/>
      <c r="P125" s="3"/>
      <c r="Q125" s="3" t="s">
        <v>6296</v>
      </c>
      <c r="R125" s="3" t="s">
        <v>6297</v>
      </c>
      <c r="S125" s="25">
        <v>4.410407</v>
      </c>
      <c r="T125" s="25">
        <v>44.370281</v>
      </c>
      <c r="U125" s="2">
        <v>31</v>
      </c>
      <c r="V125" s="3">
        <v>612373</v>
      </c>
      <c r="W125" s="3">
        <v>4913968</v>
      </c>
      <c r="X125" s="25">
        <v>2.304182</v>
      </c>
      <c r="Y125" s="25">
        <v>49.300321</v>
      </c>
      <c r="Z125" s="6"/>
      <c r="AA125" s="7" t="s">
        <v>5138</v>
      </c>
      <c r="AB125" s="8">
        <v>2016</v>
      </c>
      <c r="AC125" s="9"/>
      <c r="AD125" s="10"/>
      <c r="AE125" s="31" t="s">
        <v>6298</v>
      </c>
    </row>
    <row r="126" spans="1:31" ht="12.75">
      <c r="A126" s="4" t="s">
        <v>6299</v>
      </c>
      <c r="B126" s="1" t="s">
        <v>5589</v>
      </c>
      <c r="C126" s="1" t="s">
        <v>6300</v>
      </c>
      <c r="D126" s="1" t="s">
        <v>6301</v>
      </c>
      <c r="E126" s="2">
        <v>270</v>
      </c>
      <c r="F126" s="2">
        <v>52</v>
      </c>
      <c r="G126" s="3" t="s">
        <v>6302</v>
      </c>
      <c r="H126" s="3" t="s">
        <v>6303</v>
      </c>
      <c r="I126" s="3" t="s">
        <v>6304</v>
      </c>
      <c r="J126" s="44" t="str">
        <f>HYPERLINK("https://www.centcols.org/util/geo/visuGen.php?code=FR-07-0270","FR-07-0270")</f>
        <v>FR-07-0270</v>
      </c>
      <c r="K126" s="3" t="s">
        <v>6305</v>
      </c>
      <c r="L126" s="1" t="s">
        <v>6306</v>
      </c>
      <c r="M126" s="8">
        <v>0</v>
      </c>
      <c r="N126" s="8">
        <v>0</v>
      </c>
      <c r="O126" s="4"/>
      <c r="P126" s="3"/>
      <c r="Q126" s="3" t="s">
        <v>6307</v>
      </c>
      <c r="R126" s="3" t="s">
        <v>6308</v>
      </c>
      <c r="S126" s="25">
        <v>4.840535</v>
      </c>
      <c r="T126" s="25">
        <v>44.976744</v>
      </c>
      <c r="U126" s="2">
        <v>31</v>
      </c>
      <c r="V126" s="3">
        <v>645121</v>
      </c>
      <c r="W126" s="3">
        <v>4982015</v>
      </c>
      <c r="X126" s="25">
        <v>2.782092</v>
      </c>
      <c r="Y126" s="25">
        <v>49.974177</v>
      </c>
      <c r="Z126" s="6"/>
      <c r="AA126" s="7" t="s">
        <v>5138</v>
      </c>
      <c r="AB126" s="8">
        <v>2016</v>
      </c>
      <c r="AC126" s="9">
        <v>42593</v>
      </c>
      <c r="AD126" s="10"/>
      <c r="AE126" s="31" t="s">
        <v>6309</v>
      </c>
    </row>
    <row r="127" spans="1:31" ht="12.75">
      <c r="A127" s="4" t="s">
        <v>6310</v>
      </c>
      <c r="B127" s="1" t="s">
        <v>5815</v>
      </c>
      <c r="C127" s="1" t="s">
        <v>6311</v>
      </c>
      <c r="D127" s="1" t="s">
        <v>6312</v>
      </c>
      <c r="E127" s="2">
        <v>275</v>
      </c>
      <c r="F127" s="2">
        <v>59</v>
      </c>
      <c r="G127" s="3" t="s">
        <v>6283</v>
      </c>
      <c r="H127" s="3" t="s">
        <v>6313</v>
      </c>
      <c r="I127" s="3" t="s">
        <v>6314</v>
      </c>
      <c r="J127" s="44" t="str">
        <f>HYPERLINK("https://www.centcols.org/util/geo/visuGen.php?code=FR-07-0275a","FR-07-0275a")</f>
        <v>FR-07-0275a</v>
      </c>
      <c r="K127" s="3" t="s">
        <v>6315</v>
      </c>
      <c r="L127" s="1" t="s">
        <v>5157</v>
      </c>
      <c r="M127" s="8">
        <v>0</v>
      </c>
      <c r="N127" s="8">
        <v>0</v>
      </c>
      <c r="O127" s="4"/>
      <c r="P127" s="3"/>
      <c r="Q127" s="3" t="s">
        <v>6316</v>
      </c>
      <c r="R127" s="3" t="s">
        <v>6317</v>
      </c>
      <c r="S127" s="25">
        <v>4.436737</v>
      </c>
      <c r="T127" s="25">
        <v>44.522907</v>
      </c>
      <c r="U127" s="2">
        <v>31</v>
      </c>
      <c r="V127" s="3">
        <v>614173</v>
      </c>
      <c r="W127" s="3">
        <v>4930957</v>
      </c>
      <c r="X127" s="25">
        <v>2.333438</v>
      </c>
      <c r="Y127" s="25">
        <v>49.469908</v>
      </c>
      <c r="Z127" s="6"/>
      <c r="AA127" s="7" t="s">
        <v>5138</v>
      </c>
      <c r="AB127" s="8" t="s">
        <v>5691</v>
      </c>
      <c r="AC127" s="9">
        <v>41988</v>
      </c>
      <c r="AD127" s="10"/>
      <c r="AE127" s="31" t="s">
        <v>6290</v>
      </c>
    </row>
    <row r="128" spans="1:31" ht="12.75">
      <c r="A128" s="4" t="s">
        <v>6318</v>
      </c>
      <c r="B128" s="1" t="s">
        <v>5923</v>
      </c>
      <c r="C128" s="1" t="s">
        <v>6319</v>
      </c>
      <c r="D128" s="1" t="s">
        <v>6320</v>
      </c>
      <c r="E128" s="2">
        <v>323</v>
      </c>
      <c r="F128" s="2">
        <v>59</v>
      </c>
      <c r="G128" s="3" t="s">
        <v>6263</v>
      </c>
      <c r="H128" s="3" t="s">
        <v>6321</v>
      </c>
      <c r="I128" s="3" t="s">
        <v>6322</v>
      </c>
      <c r="J128" s="44" t="str">
        <f>HYPERLINK("https://www.centcols.org/util/geo/visuGen.php?code=FR-07-0323","FR-07-0323")</f>
        <v>FR-07-0323</v>
      </c>
      <c r="K128" s="3" t="s">
        <v>6323</v>
      </c>
      <c r="L128" s="1" t="s">
        <v>6324</v>
      </c>
      <c r="M128" s="8">
        <v>0</v>
      </c>
      <c r="N128" s="8">
        <v>0</v>
      </c>
      <c r="O128" s="4"/>
      <c r="P128" s="3"/>
      <c r="Q128" s="3" t="s">
        <v>6325</v>
      </c>
      <c r="R128" s="3" t="s">
        <v>6326</v>
      </c>
      <c r="S128" s="25">
        <v>4.439119</v>
      </c>
      <c r="T128" s="25">
        <v>44.374035</v>
      </c>
      <c r="U128" s="2">
        <v>31</v>
      </c>
      <c r="V128" s="3">
        <v>614653</v>
      </c>
      <c r="W128" s="3">
        <v>4914424</v>
      </c>
      <c r="X128" s="25">
        <v>2.336083</v>
      </c>
      <c r="Y128" s="25">
        <v>49.304</v>
      </c>
      <c r="Z128" s="6"/>
      <c r="AA128" s="7" t="s">
        <v>5138</v>
      </c>
      <c r="AB128" s="8">
        <v>2011</v>
      </c>
      <c r="AC128" s="9"/>
      <c r="AD128" s="10">
        <v>1</v>
      </c>
      <c r="AE128" s="31" t="s">
        <v>6290</v>
      </c>
    </row>
    <row r="129" spans="1:31" ht="12.75">
      <c r="A129" s="4" t="s">
        <v>6327</v>
      </c>
      <c r="B129" s="1" t="s">
        <v>5128</v>
      </c>
      <c r="C129" s="1" t="s">
        <v>6328</v>
      </c>
      <c r="D129" s="1" t="s">
        <v>6329</v>
      </c>
      <c r="E129" s="2">
        <v>360</v>
      </c>
      <c r="F129" s="2">
        <v>52</v>
      </c>
      <c r="G129" s="3" t="s">
        <v>6330</v>
      </c>
      <c r="H129" s="3" t="s">
        <v>6331</v>
      </c>
      <c r="I129" s="3" t="s">
        <v>6332</v>
      </c>
      <c r="J129" s="44" t="str">
        <f>HYPERLINK("https://www.centcols.org/util/geo/visuGen.php?code=FR-07-0360a","FR-07-0360a")</f>
        <v>FR-07-0360a</v>
      </c>
      <c r="K129" s="3" t="s">
        <v>6333</v>
      </c>
      <c r="L129" s="1" t="s">
        <v>6334</v>
      </c>
      <c r="M129" s="8">
        <v>0</v>
      </c>
      <c r="N129" s="8">
        <v>0</v>
      </c>
      <c r="O129" s="4"/>
      <c r="P129" s="3"/>
      <c r="Q129" s="3" t="s">
        <v>6335</v>
      </c>
      <c r="R129" s="3" t="s">
        <v>6336</v>
      </c>
      <c r="S129" s="25">
        <v>4.775280086137535</v>
      </c>
      <c r="T129" s="25">
        <v>45.26608545042767</v>
      </c>
      <c r="U129" s="2">
        <v>31</v>
      </c>
      <c r="V129" s="3">
        <v>639270</v>
      </c>
      <c r="W129" s="3">
        <v>5014043</v>
      </c>
      <c r="X129" s="25">
        <v>2.7095902260450004</v>
      </c>
      <c r="Y129" s="25">
        <v>50.295674662000394</v>
      </c>
      <c r="Z129" s="6"/>
      <c r="AA129" s="7" t="s">
        <v>5138</v>
      </c>
      <c r="AB129" s="8" t="s">
        <v>5571</v>
      </c>
      <c r="AC129" s="9">
        <v>41247</v>
      </c>
      <c r="AD129" s="10">
        <v>4</v>
      </c>
      <c r="AE129" s="31" t="s">
        <v>6290</v>
      </c>
    </row>
    <row r="130" spans="1:31" ht="12.75">
      <c r="A130" s="4" t="s">
        <v>6337</v>
      </c>
      <c r="B130" s="1" t="s">
        <v>5815</v>
      </c>
      <c r="C130" s="1" t="s">
        <v>6338</v>
      </c>
      <c r="D130" s="1" t="s">
        <v>6339</v>
      </c>
      <c r="E130" s="2">
        <v>363</v>
      </c>
      <c r="F130" s="2">
        <v>59</v>
      </c>
      <c r="G130" s="3" t="s">
        <v>6263</v>
      </c>
      <c r="H130" s="3" t="s">
        <v>6340</v>
      </c>
      <c r="I130" s="3" t="s">
        <v>6341</v>
      </c>
      <c r="J130" s="44" t="str">
        <f>HYPERLINK("https://www.centcols.org/util/geo/visuGen.php?code=FR-07-0363","FR-07-0363")</f>
        <v>FR-07-0363</v>
      </c>
      <c r="K130" s="3" t="s">
        <v>6342</v>
      </c>
      <c r="L130" s="1" t="s">
        <v>6343</v>
      </c>
      <c r="M130" s="8">
        <v>0</v>
      </c>
      <c r="N130" s="8">
        <v>0</v>
      </c>
      <c r="O130" s="4"/>
      <c r="P130" s="3"/>
      <c r="Q130" s="3" t="s">
        <v>6344</v>
      </c>
      <c r="R130" s="3" t="s">
        <v>6345</v>
      </c>
      <c r="S130" s="25">
        <v>4.416684347949501</v>
      </c>
      <c r="T130" s="25">
        <v>44.326868134370606</v>
      </c>
      <c r="U130" s="2">
        <v>31</v>
      </c>
      <c r="V130" s="3">
        <v>612956</v>
      </c>
      <c r="W130" s="3">
        <v>4909154</v>
      </c>
      <c r="X130" s="25">
        <v>2.311155571859838</v>
      </c>
      <c r="Y130" s="25">
        <v>49.25208443147591</v>
      </c>
      <c r="Z130" s="6"/>
      <c r="AA130" s="7" t="s">
        <v>5138</v>
      </c>
      <c r="AB130" s="8" t="s">
        <v>5571</v>
      </c>
      <c r="AC130" s="9">
        <v>41209</v>
      </c>
      <c r="AD130" s="10">
        <v>1</v>
      </c>
      <c r="AE130" s="31" t="s">
        <v>6290</v>
      </c>
    </row>
    <row r="131" spans="1:31" ht="12.75">
      <c r="A131" s="4" t="s">
        <v>6346</v>
      </c>
      <c r="B131" s="1" t="s">
        <v>5923</v>
      </c>
      <c r="C131" s="1" t="s">
        <v>6347</v>
      </c>
      <c r="D131" s="1" t="s">
        <v>6348</v>
      </c>
      <c r="E131" s="2">
        <v>415</v>
      </c>
      <c r="F131" s="2">
        <v>59</v>
      </c>
      <c r="G131" s="3" t="s">
        <v>6349</v>
      </c>
      <c r="H131" s="3" t="s">
        <v>6350</v>
      </c>
      <c r="I131" s="3" t="s">
        <v>6351</v>
      </c>
      <c r="J131" s="44" t="str">
        <f>HYPERLINK("https://www.centcols.org/util/geo/visuGen.php?code=FR-07-0415","FR-07-0415")</f>
        <v>FR-07-0415</v>
      </c>
      <c r="K131" s="3" t="s">
        <v>6352</v>
      </c>
      <c r="L131" s="1" t="s">
        <v>5157</v>
      </c>
      <c r="M131" s="8">
        <v>0</v>
      </c>
      <c r="N131" s="8">
        <v>0</v>
      </c>
      <c r="O131" s="4"/>
      <c r="P131" s="3"/>
      <c r="Q131" s="3" t="s">
        <v>6353</v>
      </c>
      <c r="R131" s="3" t="s">
        <v>6354</v>
      </c>
      <c r="S131" s="25">
        <v>4.134798596216112</v>
      </c>
      <c r="T131" s="25">
        <v>44.36294022258078</v>
      </c>
      <c r="U131" s="2">
        <v>31</v>
      </c>
      <c r="V131" s="3">
        <v>590425</v>
      </c>
      <c r="W131" s="3">
        <v>4912811</v>
      </c>
      <c r="X131" s="25">
        <v>1.9979600534653097</v>
      </c>
      <c r="Y131" s="25">
        <v>49.29216515041657</v>
      </c>
      <c r="Z131" s="6"/>
      <c r="AA131" s="7" t="s">
        <v>5138</v>
      </c>
      <c r="AB131" s="8" t="s">
        <v>5571</v>
      </c>
      <c r="AC131" s="9">
        <v>41209</v>
      </c>
      <c r="AD131" s="10">
        <v>1</v>
      </c>
      <c r="AE131" s="31" t="s">
        <v>6290</v>
      </c>
    </row>
    <row r="132" spans="1:31" ht="12.75">
      <c r="A132" s="4" t="s">
        <v>6355</v>
      </c>
      <c r="B132" s="1" t="s">
        <v>5262</v>
      </c>
      <c r="C132" s="1" t="s">
        <v>6356</v>
      </c>
      <c r="D132" s="1" t="s">
        <v>6356</v>
      </c>
      <c r="E132" s="2">
        <v>431</v>
      </c>
      <c r="F132" s="2">
        <v>52</v>
      </c>
      <c r="G132" s="3" t="s">
        <v>6357</v>
      </c>
      <c r="H132" s="3" t="s">
        <v>6358</v>
      </c>
      <c r="I132" s="3" t="s">
        <v>6359</v>
      </c>
      <c r="J132" s="44" t="str">
        <f>HYPERLINK("https://www.centcols.org/util/geo/visuGen.php?code=FR-07-0431","FR-07-0431")</f>
        <v>FR-07-0431</v>
      </c>
      <c r="K132" s="3" t="s">
        <v>6360</v>
      </c>
      <c r="L132" s="1" t="s">
        <v>6361</v>
      </c>
      <c r="M132" s="8">
        <v>0</v>
      </c>
      <c r="N132" s="8">
        <v>0</v>
      </c>
      <c r="O132" s="4"/>
      <c r="P132" s="3"/>
      <c r="Q132" s="3" t="s">
        <v>6362</v>
      </c>
      <c r="R132" s="3" t="s">
        <v>6363</v>
      </c>
      <c r="S132" s="25">
        <v>4.6232257267564485</v>
      </c>
      <c r="T132" s="25">
        <v>44.78800433303722</v>
      </c>
      <c r="U132" s="2">
        <v>31</v>
      </c>
      <c r="V132" s="3">
        <v>628406</v>
      </c>
      <c r="W132" s="3">
        <v>4960682</v>
      </c>
      <c r="X132" s="25">
        <v>2.540643441745726</v>
      </c>
      <c r="Y132" s="25">
        <v>49.76446410674464</v>
      </c>
      <c r="Z132" s="6"/>
      <c r="AA132" s="7" t="s">
        <v>5138</v>
      </c>
      <c r="AB132" s="8">
        <v>2008</v>
      </c>
      <c r="AC132" s="9"/>
      <c r="AD132" s="10">
        <v>1</v>
      </c>
      <c r="AE132" s="31" t="s">
        <v>6364</v>
      </c>
    </row>
    <row r="133" spans="1:31" ht="12.75">
      <c r="A133" s="4" t="s">
        <v>6365</v>
      </c>
      <c r="B133" s="1" t="s">
        <v>6366</v>
      </c>
      <c r="C133" s="1" t="s">
        <v>6367</v>
      </c>
      <c r="D133" s="1" t="s">
        <v>6368</v>
      </c>
      <c r="E133" s="2">
        <v>435</v>
      </c>
      <c r="F133" s="2">
        <v>52</v>
      </c>
      <c r="G133" s="3" t="s">
        <v>6302</v>
      </c>
      <c r="H133" s="3" t="s">
        <v>6369</v>
      </c>
      <c r="I133" s="3" t="s">
        <v>6370</v>
      </c>
      <c r="J133" s="44" t="str">
        <f>HYPERLINK("https://www.centcols.org/util/geo/visuGen.php?code=FR-07-0435","FR-07-0435")</f>
        <v>FR-07-0435</v>
      </c>
      <c r="K133" s="3"/>
      <c r="L133" s="1" t="s">
        <v>5138</v>
      </c>
      <c r="M133" s="8">
        <v>35</v>
      </c>
      <c r="N133" s="8">
        <v>10</v>
      </c>
      <c r="O133" s="4"/>
      <c r="P133" s="3"/>
      <c r="Q133" s="3" t="s">
        <v>6371</v>
      </c>
      <c r="R133" s="3" t="s">
        <v>6372</v>
      </c>
      <c r="S133" s="25">
        <v>4.791058</v>
      </c>
      <c r="T133" s="25">
        <v>44.910672</v>
      </c>
      <c r="U133" s="2">
        <v>31</v>
      </c>
      <c r="V133" s="3">
        <v>641382</v>
      </c>
      <c r="W133" s="3">
        <v>4974588</v>
      </c>
      <c r="X133" s="25">
        <v>2.727119</v>
      </c>
      <c r="Y133" s="25">
        <v>49.900763</v>
      </c>
      <c r="Z133" s="6"/>
      <c r="AA133" s="7" t="s">
        <v>5138</v>
      </c>
      <c r="AB133" s="8">
        <v>2016</v>
      </c>
      <c r="AC133" s="9">
        <v>42593</v>
      </c>
      <c r="AD133" s="10"/>
      <c r="AE133" s="31" t="s">
        <v>6373</v>
      </c>
    </row>
    <row r="134" spans="1:31" ht="12.75">
      <c r="A134" s="4" t="s">
        <v>6374</v>
      </c>
      <c r="B134" s="1" t="s">
        <v>5128</v>
      </c>
      <c r="C134" s="1" t="s">
        <v>6375</v>
      </c>
      <c r="D134" s="1" t="s">
        <v>6376</v>
      </c>
      <c r="E134" s="2">
        <v>458</v>
      </c>
      <c r="F134" s="2">
        <v>52</v>
      </c>
      <c r="G134" s="3" t="s">
        <v>6377</v>
      </c>
      <c r="H134" s="3" t="s">
        <v>6378</v>
      </c>
      <c r="I134" s="3" t="s">
        <v>6379</v>
      </c>
      <c r="J134" s="44" t="str">
        <f>HYPERLINK("https://www.centcols.org/util/geo/visuGen.php?code=FR-07-0458a","FR-07-0458a")</f>
        <v>FR-07-0458a</v>
      </c>
      <c r="K134" s="3" t="s">
        <v>6380</v>
      </c>
      <c r="L134" s="1" t="s">
        <v>6381</v>
      </c>
      <c r="M134" s="8">
        <v>0</v>
      </c>
      <c r="N134" s="8">
        <v>0</v>
      </c>
      <c r="O134" s="4"/>
      <c r="P134" s="3"/>
      <c r="Q134" s="3" t="s">
        <v>6382</v>
      </c>
      <c r="R134" s="3" t="s">
        <v>6383</v>
      </c>
      <c r="S134" s="25">
        <v>4.664869786623817</v>
      </c>
      <c r="T134" s="25">
        <v>45.06658112798283</v>
      </c>
      <c r="U134" s="2">
        <v>31</v>
      </c>
      <c r="V134" s="3">
        <v>631065</v>
      </c>
      <c r="W134" s="3">
        <v>4991695</v>
      </c>
      <c r="X134" s="25">
        <v>2.586915122987821</v>
      </c>
      <c r="Y134" s="25">
        <v>50.07399885533414</v>
      </c>
      <c r="Z134" s="6"/>
      <c r="AA134" s="7" t="s">
        <v>5138</v>
      </c>
      <c r="AB134" s="8" t="s">
        <v>5571</v>
      </c>
      <c r="AC134" s="9">
        <v>41247</v>
      </c>
      <c r="AD134" s="10">
        <v>4</v>
      </c>
      <c r="AE134" s="31" t="s">
        <v>6290</v>
      </c>
    </row>
    <row r="135" spans="1:31" ht="12.75">
      <c r="A135" s="4" t="s">
        <v>6384</v>
      </c>
      <c r="B135" s="1" t="s">
        <v>5262</v>
      </c>
      <c r="C135" s="1" t="s">
        <v>5805</v>
      </c>
      <c r="D135" s="1" t="s">
        <v>5805</v>
      </c>
      <c r="E135" s="2">
        <v>462</v>
      </c>
      <c r="F135" s="2">
        <v>52</v>
      </c>
      <c r="G135" s="3" t="s">
        <v>6385</v>
      </c>
      <c r="H135" s="3" t="s">
        <v>6386</v>
      </c>
      <c r="I135" s="3" t="s">
        <v>6387</v>
      </c>
      <c r="J135" s="44" t="str">
        <f>HYPERLINK("https://www.centcols.org/util/geo/visuGen.php?code=FR-07-0462","FR-07-0462")</f>
        <v>FR-07-0462</v>
      </c>
      <c r="K135" s="3" t="s">
        <v>6388</v>
      </c>
      <c r="L135" s="1" t="s">
        <v>5157</v>
      </c>
      <c r="M135" s="8">
        <v>0</v>
      </c>
      <c r="N135" s="8">
        <v>0</v>
      </c>
      <c r="O135" s="4"/>
      <c r="P135" s="3"/>
      <c r="Q135" s="3" t="s">
        <v>6389</v>
      </c>
      <c r="R135" s="3" t="s">
        <v>6390</v>
      </c>
      <c r="S135" s="25">
        <v>4.741472898033982</v>
      </c>
      <c r="T135" s="25">
        <v>45.11452023167699</v>
      </c>
      <c r="U135" s="2">
        <v>31</v>
      </c>
      <c r="V135" s="3">
        <v>636981</v>
      </c>
      <c r="W135" s="3">
        <v>4997147</v>
      </c>
      <c r="X135" s="25">
        <v>2.6720267438429994</v>
      </c>
      <c r="Y135" s="25">
        <v>50.12726509288001</v>
      </c>
      <c r="Z135" s="6"/>
      <c r="AA135" s="7" t="s">
        <v>5138</v>
      </c>
      <c r="AB135" s="8">
        <v>2008</v>
      </c>
      <c r="AC135" s="9"/>
      <c r="AD135" s="10">
        <v>1</v>
      </c>
      <c r="AE135" s="31" t="s">
        <v>5149</v>
      </c>
    </row>
    <row r="136" spans="1:31" ht="12.75">
      <c r="A136" s="4" t="s">
        <v>6391</v>
      </c>
      <c r="B136" s="1" t="s">
        <v>5128</v>
      </c>
      <c r="C136" s="1" t="s">
        <v>6392</v>
      </c>
      <c r="D136" s="1" t="s">
        <v>6393</v>
      </c>
      <c r="E136" s="2">
        <v>507</v>
      </c>
      <c r="F136" s="2">
        <v>59</v>
      </c>
      <c r="G136" s="3" t="s">
        <v>6394</v>
      </c>
      <c r="H136" s="3" t="s">
        <v>6395</v>
      </c>
      <c r="I136" s="3" t="s">
        <v>6396</v>
      </c>
      <c r="J136" s="44" t="str">
        <f>HYPERLINK("https://www.centcols.org/util/geo/visuGen.php?code=FR-07-0507","FR-07-0507")</f>
        <v>FR-07-0507</v>
      </c>
      <c r="K136" s="3" t="s">
        <v>6397</v>
      </c>
      <c r="L136" s="1" t="s">
        <v>6398</v>
      </c>
      <c r="M136" s="8">
        <v>0</v>
      </c>
      <c r="N136" s="8">
        <v>0</v>
      </c>
      <c r="O136" s="4"/>
      <c r="P136" s="3"/>
      <c r="Q136" s="3" t="s">
        <v>6399</v>
      </c>
      <c r="R136" s="3" t="s">
        <v>6400</v>
      </c>
      <c r="S136" s="25">
        <v>4.15343515623104</v>
      </c>
      <c r="T136" s="25">
        <v>44.48599522227324</v>
      </c>
      <c r="U136" s="2">
        <v>31</v>
      </c>
      <c r="V136" s="3">
        <v>591718</v>
      </c>
      <c r="W136" s="3">
        <v>4926501</v>
      </c>
      <c r="X136" s="25">
        <v>2.0186690127459888</v>
      </c>
      <c r="Y136" s="25">
        <v>49.428895585163964</v>
      </c>
      <c r="Z136" s="6"/>
      <c r="AA136" s="7" t="s">
        <v>5138</v>
      </c>
      <c r="AB136" s="8" t="s">
        <v>5571</v>
      </c>
      <c r="AC136" s="9">
        <v>41257</v>
      </c>
      <c r="AD136" s="10">
        <v>7</v>
      </c>
      <c r="AE136" s="31" t="s">
        <v>6290</v>
      </c>
    </row>
    <row r="137" spans="1:31" ht="12.75">
      <c r="A137" s="4" t="s">
        <v>6401</v>
      </c>
      <c r="B137" s="1" t="s">
        <v>5262</v>
      </c>
      <c r="C137" s="1" t="s">
        <v>6402</v>
      </c>
      <c r="D137" s="1" t="s">
        <v>6402</v>
      </c>
      <c r="E137" s="2">
        <v>530</v>
      </c>
      <c r="F137" s="2">
        <v>52</v>
      </c>
      <c r="G137" s="3" t="s">
        <v>6403</v>
      </c>
      <c r="H137" s="3" t="s">
        <v>6404</v>
      </c>
      <c r="I137" s="3" t="s">
        <v>6405</v>
      </c>
      <c r="J137" s="44" t="str">
        <f>HYPERLINK("https://www.centcols.org/util/geo/visuGen.php?code=FR-07-0530","FR-07-0530")</f>
        <v>FR-07-0530</v>
      </c>
      <c r="K137" s="3" t="s">
        <v>6406</v>
      </c>
      <c r="L137" s="1" t="s">
        <v>5157</v>
      </c>
      <c r="M137" s="8">
        <v>0</v>
      </c>
      <c r="N137" s="8">
        <v>0</v>
      </c>
      <c r="O137" s="4"/>
      <c r="P137" s="3"/>
      <c r="Q137" s="3" t="s">
        <v>6407</v>
      </c>
      <c r="R137" s="3" t="s">
        <v>6408</v>
      </c>
      <c r="S137" s="25">
        <v>4.568619271050335</v>
      </c>
      <c r="T137" s="25">
        <v>44.832907706931536</v>
      </c>
      <c r="U137" s="2">
        <v>31</v>
      </c>
      <c r="V137" s="3">
        <v>623990</v>
      </c>
      <c r="W137" s="3">
        <v>4965586</v>
      </c>
      <c r="X137" s="25">
        <v>2.479972398121772</v>
      </c>
      <c r="Y137" s="25">
        <v>49.81435780983191</v>
      </c>
      <c r="Z137" s="6"/>
      <c r="AA137" s="7" t="s">
        <v>5138</v>
      </c>
      <c r="AB137" s="8">
        <v>2008</v>
      </c>
      <c r="AC137" s="9"/>
      <c r="AD137" s="10">
        <v>1</v>
      </c>
      <c r="AE137" s="31" t="s">
        <v>6409</v>
      </c>
    </row>
    <row r="138" spans="1:31" ht="12.75">
      <c r="A138" s="4" t="s">
        <v>6410</v>
      </c>
      <c r="B138" s="1" t="s">
        <v>5128</v>
      </c>
      <c r="C138" s="1" t="s">
        <v>6411</v>
      </c>
      <c r="D138" s="1" t="s">
        <v>6412</v>
      </c>
      <c r="E138" s="2">
        <v>610</v>
      </c>
      <c r="F138" s="2">
        <v>52</v>
      </c>
      <c r="G138" s="3" t="s">
        <v>6413</v>
      </c>
      <c r="H138" s="3" t="s">
        <v>6414</v>
      </c>
      <c r="I138" s="3" t="s">
        <v>6415</v>
      </c>
      <c r="J138" s="44" t="str">
        <f>HYPERLINK("https://www.centcols.org/util/geo/visuGen.php?code=FR-07-0610","FR-07-0610")</f>
        <v>FR-07-0610</v>
      </c>
      <c r="K138" s="3" t="s">
        <v>6416</v>
      </c>
      <c r="L138" s="1" t="s">
        <v>6417</v>
      </c>
      <c r="M138" s="8">
        <v>0</v>
      </c>
      <c r="N138" s="8">
        <v>0</v>
      </c>
      <c r="O138" s="4"/>
      <c r="P138" s="3"/>
      <c r="Q138" s="3" t="s">
        <v>6418</v>
      </c>
      <c r="R138" s="3" t="s">
        <v>6419</v>
      </c>
      <c r="S138" s="25">
        <v>4.473997</v>
      </c>
      <c r="T138" s="25">
        <v>44.891451</v>
      </c>
      <c r="U138" s="2">
        <v>31</v>
      </c>
      <c r="V138" s="3">
        <v>616393</v>
      </c>
      <c r="W138" s="3">
        <v>4971949</v>
      </c>
      <c r="X138" s="25">
        <v>2.374841</v>
      </c>
      <c r="Y138" s="25">
        <v>49.879408</v>
      </c>
      <c r="Z138" s="6"/>
      <c r="AA138" s="7" t="s">
        <v>5138</v>
      </c>
      <c r="AB138" s="8" t="s">
        <v>5691</v>
      </c>
      <c r="AC138" s="9">
        <v>41988</v>
      </c>
      <c r="AD138" s="10"/>
      <c r="AE138" s="31" t="s">
        <v>6290</v>
      </c>
    </row>
    <row r="139" spans="1:31" ht="12.75">
      <c r="A139" s="4" t="s">
        <v>6420</v>
      </c>
      <c r="B139" s="1" t="s">
        <v>5589</v>
      </c>
      <c r="C139" s="1" t="s">
        <v>6421</v>
      </c>
      <c r="D139" s="1" t="s">
        <v>6422</v>
      </c>
      <c r="E139" s="2">
        <v>660</v>
      </c>
      <c r="F139" s="2">
        <v>59</v>
      </c>
      <c r="G139" s="3" t="s">
        <v>6423</v>
      </c>
      <c r="H139" s="3" t="s">
        <v>6424</v>
      </c>
      <c r="I139" s="3" t="s">
        <v>6425</v>
      </c>
      <c r="J139" s="44" t="str">
        <f>HYPERLINK("https://www.centcols.org/util/geo/visuGen.php?code=FR-07-0660","FR-07-0660")</f>
        <v>FR-07-0660</v>
      </c>
      <c r="K139" s="3" t="s">
        <v>6426</v>
      </c>
      <c r="L139" s="1" t="s">
        <v>6427</v>
      </c>
      <c r="M139" s="8">
        <v>0</v>
      </c>
      <c r="N139" s="8">
        <v>0</v>
      </c>
      <c r="O139" s="4"/>
      <c r="P139" s="3"/>
      <c r="Q139" s="3" t="s">
        <v>6428</v>
      </c>
      <c r="R139" s="3" t="s">
        <v>6429</v>
      </c>
      <c r="S139" s="25">
        <v>4.388458791119342</v>
      </c>
      <c r="T139" s="25">
        <v>44.71879236571611</v>
      </c>
      <c r="U139" s="2">
        <v>31</v>
      </c>
      <c r="V139" s="3">
        <v>609966</v>
      </c>
      <c r="W139" s="3">
        <v>4952650</v>
      </c>
      <c r="X139" s="25">
        <v>2.2798008296750027</v>
      </c>
      <c r="Y139" s="25">
        <v>49.687562285725555</v>
      </c>
      <c r="Z139" s="6"/>
      <c r="AA139" s="7" t="s">
        <v>5138</v>
      </c>
      <c r="AB139" s="8" t="s">
        <v>5571</v>
      </c>
      <c r="AC139" s="9">
        <v>41212</v>
      </c>
      <c r="AD139" s="10">
        <v>1</v>
      </c>
      <c r="AE139" s="31" t="s">
        <v>6430</v>
      </c>
    </row>
    <row r="140" spans="1:31" ht="12.75">
      <c r="A140" s="4" t="s">
        <v>6431</v>
      </c>
      <c r="B140" s="1" t="s">
        <v>5128</v>
      </c>
      <c r="C140" s="1" t="s">
        <v>6432</v>
      </c>
      <c r="D140" s="1" t="s">
        <v>6433</v>
      </c>
      <c r="E140" s="2">
        <v>688</v>
      </c>
      <c r="F140" s="2">
        <v>52</v>
      </c>
      <c r="G140" s="3" t="s">
        <v>6357</v>
      </c>
      <c r="H140" s="3" t="s">
        <v>6434</v>
      </c>
      <c r="I140" s="3" t="s">
        <v>6435</v>
      </c>
      <c r="J140" s="44" t="str">
        <f>HYPERLINK("https://www.centcols.org/util/geo/visuGen.php?code=FR-07-0688","FR-07-0688")</f>
        <v>FR-07-0688</v>
      </c>
      <c r="K140" s="3" t="s">
        <v>6436</v>
      </c>
      <c r="L140" s="1" t="s">
        <v>6437</v>
      </c>
      <c r="M140" s="8">
        <v>0</v>
      </c>
      <c r="N140" s="8">
        <v>0</v>
      </c>
      <c r="O140" s="4"/>
      <c r="P140" s="3"/>
      <c r="Q140" s="3" t="s">
        <v>6438</v>
      </c>
      <c r="R140" s="3" t="s">
        <v>6439</v>
      </c>
      <c r="S140" s="25">
        <v>4.512929311412247</v>
      </c>
      <c r="T140" s="25">
        <v>44.812305637987244</v>
      </c>
      <c r="U140" s="2">
        <v>31</v>
      </c>
      <c r="V140" s="3">
        <v>619631</v>
      </c>
      <c r="W140" s="3">
        <v>4963214</v>
      </c>
      <c r="X140" s="25">
        <v>2.4180968964617477</v>
      </c>
      <c r="Y140" s="25">
        <v>49.79146665071547</v>
      </c>
      <c r="Z140" s="6"/>
      <c r="AA140" s="7" t="s">
        <v>5138</v>
      </c>
      <c r="AB140" s="8" t="s">
        <v>5571</v>
      </c>
      <c r="AC140" s="9">
        <v>41209</v>
      </c>
      <c r="AD140" s="10">
        <v>1</v>
      </c>
      <c r="AE140" s="31" t="s">
        <v>6440</v>
      </c>
    </row>
    <row r="141" spans="1:31" ht="12.75">
      <c r="A141" s="4" t="s">
        <v>6441</v>
      </c>
      <c r="B141" s="1" t="s">
        <v>5262</v>
      </c>
      <c r="C141" s="1" t="s">
        <v>6442</v>
      </c>
      <c r="D141" s="1" t="s">
        <v>6442</v>
      </c>
      <c r="E141" s="2">
        <v>694</v>
      </c>
      <c r="F141" s="2">
        <v>52</v>
      </c>
      <c r="G141" s="3" t="s">
        <v>6403</v>
      </c>
      <c r="H141" s="3" t="s">
        <v>6443</v>
      </c>
      <c r="I141" s="3" t="s">
        <v>6444</v>
      </c>
      <c r="J141" s="44" t="str">
        <f>HYPERLINK("https://www.centcols.org/util/geo/visuGen.php?code=FR-07-0694a","FR-07-0694a")</f>
        <v>FR-07-0694a</v>
      </c>
      <c r="K141" s="3" t="s">
        <v>6445</v>
      </c>
      <c r="L141" s="1" t="s">
        <v>6446</v>
      </c>
      <c r="M141" s="8">
        <v>0</v>
      </c>
      <c r="N141" s="8">
        <v>0</v>
      </c>
      <c r="O141" s="4"/>
      <c r="P141" s="3"/>
      <c r="Q141" s="3" t="s">
        <v>6447</v>
      </c>
      <c r="R141" s="3" t="s">
        <v>6448</v>
      </c>
      <c r="S141" s="25">
        <v>4.574795684669551</v>
      </c>
      <c r="T141" s="25">
        <v>44.87623117809538</v>
      </c>
      <c r="U141" s="2">
        <v>31</v>
      </c>
      <c r="V141" s="3">
        <v>624385</v>
      </c>
      <c r="W141" s="3">
        <v>4970408</v>
      </c>
      <c r="X141" s="25">
        <v>2.4868352708041805</v>
      </c>
      <c r="Y141" s="25">
        <v>49.8624956920909</v>
      </c>
      <c r="Z141" s="6"/>
      <c r="AA141" s="7" t="s">
        <v>5138</v>
      </c>
      <c r="AB141" s="8">
        <v>2006</v>
      </c>
      <c r="AC141" s="9"/>
      <c r="AD141" s="10">
        <v>1</v>
      </c>
      <c r="AE141" s="31" t="s">
        <v>6290</v>
      </c>
    </row>
    <row r="142" spans="1:31" ht="12.75">
      <c r="A142" s="4" t="s">
        <v>6449</v>
      </c>
      <c r="B142" s="1" t="s">
        <v>5589</v>
      </c>
      <c r="C142" s="1" t="s">
        <v>6300</v>
      </c>
      <c r="D142" s="1" t="s">
        <v>6301</v>
      </c>
      <c r="E142" s="2">
        <v>705</v>
      </c>
      <c r="F142" s="2">
        <v>52</v>
      </c>
      <c r="G142" s="3" t="s">
        <v>6403</v>
      </c>
      <c r="H142" s="3" t="s">
        <v>6450</v>
      </c>
      <c r="I142" s="3" t="s">
        <v>6451</v>
      </c>
      <c r="J142" s="44" t="str">
        <f>HYPERLINK("https://www.centcols.org/util/geo/visuGen.php?code=FR-07-0705","FR-07-0705")</f>
        <v>FR-07-0705</v>
      </c>
      <c r="K142" s="3" t="s">
        <v>6452</v>
      </c>
      <c r="L142" s="1" t="s">
        <v>6453</v>
      </c>
      <c r="M142" s="8">
        <v>0</v>
      </c>
      <c r="N142" s="8">
        <v>0</v>
      </c>
      <c r="O142" s="4"/>
      <c r="P142" s="3"/>
      <c r="Q142" s="3" t="s">
        <v>6454</v>
      </c>
      <c r="R142" s="3" t="s">
        <v>6455</v>
      </c>
      <c r="S142" s="25">
        <v>4.5129798118331514</v>
      </c>
      <c r="T142" s="25">
        <v>44.915709501130735</v>
      </c>
      <c r="U142" s="2">
        <v>31</v>
      </c>
      <c r="V142" s="3">
        <v>619421</v>
      </c>
      <c r="W142" s="3">
        <v>4974700</v>
      </c>
      <c r="X142" s="25">
        <v>2.41815398478668</v>
      </c>
      <c r="Y142" s="25">
        <v>49.90636149653674</v>
      </c>
      <c r="Z142" s="6"/>
      <c r="AA142" s="7" t="s">
        <v>5138</v>
      </c>
      <c r="AB142" s="8">
        <v>2008</v>
      </c>
      <c r="AC142" s="9"/>
      <c r="AD142" s="10">
        <v>1</v>
      </c>
      <c r="AE142" s="31" t="s">
        <v>6456</v>
      </c>
    </row>
    <row r="143" spans="1:31" ht="12.75">
      <c r="A143" s="18" t="s">
        <v>6457</v>
      </c>
      <c r="B143" s="20" t="s">
        <v>5923</v>
      </c>
      <c r="C143" s="20" t="s">
        <v>6458</v>
      </c>
      <c r="D143" s="20" t="s">
        <v>6459</v>
      </c>
      <c r="E143" s="19">
        <v>746</v>
      </c>
      <c r="F143" s="14">
        <v>51</v>
      </c>
      <c r="G143" s="19" t="s">
        <v>6460</v>
      </c>
      <c r="H143" s="19" t="s">
        <v>6461</v>
      </c>
      <c r="I143" s="19" t="s">
        <v>6462</v>
      </c>
      <c r="J143" s="44" t="str">
        <f>HYPERLINK("https://www.centcols.org/util/geo/visuGen.php?code=FR-07-0746","FR-07-0746")</f>
        <v>FR-07-0746</v>
      </c>
      <c r="K143" s="19"/>
      <c r="L143" s="20" t="s">
        <v>5257</v>
      </c>
      <c r="M143" s="19">
        <v>1</v>
      </c>
      <c r="N143" s="19">
        <v>10</v>
      </c>
      <c r="O143" s="18"/>
      <c r="P143" s="19"/>
      <c r="Q143" s="19" t="s">
        <v>6463</v>
      </c>
      <c r="R143" s="19" t="s">
        <v>6464</v>
      </c>
      <c r="S143" s="59">
        <v>4.616386</v>
      </c>
      <c r="T143" s="59">
        <v>45.215585</v>
      </c>
      <c r="U143" s="19">
        <v>31</v>
      </c>
      <c r="V143" s="3">
        <v>626917</v>
      </c>
      <c r="W143" s="3">
        <v>5008170</v>
      </c>
      <c r="X143" s="59">
        <v>2.533047</v>
      </c>
      <c r="Y143" s="59">
        <v>50.239563</v>
      </c>
      <c r="Z143" s="18"/>
      <c r="AA143" s="11" t="s">
        <v>5176</v>
      </c>
      <c r="AB143" s="11">
        <v>2018</v>
      </c>
      <c r="AC143" s="12">
        <v>43250</v>
      </c>
      <c r="AD143" s="11"/>
      <c r="AE143" s="23" t="s">
        <v>5631</v>
      </c>
    </row>
    <row r="144" spans="1:31" ht="12.75">
      <c r="A144" s="4" t="s">
        <v>6465</v>
      </c>
      <c r="B144" s="1" t="s">
        <v>5759</v>
      </c>
      <c r="C144" s="1" t="s">
        <v>6466</v>
      </c>
      <c r="D144" s="1" t="s">
        <v>6467</v>
      </c>
      <c r="E144" s="2">
        <v>752</v>
      </c>
      <c r="F144" s="2">
        <v>59</v>
      </c>
      <c r="G144" s="3" t="s">
        <v>6423</v>
      </c>
      <c r="H144" s="3" t="s">
        <v>6468</v>
      </c>
      <c r="I144" s="3" t="s">
        <v>6469</v>
      </c>
      <c r="J144" s="44" t="str">
        <f>HYPERLINK("https://www.centcols.org/util/geo/visuGen.php?code=FR-07-0752","FR-07-0752")</f>
        <v>FR-07-0752</v>
      </c>
      <c r="K144" s="3"/>
      <c r="L144" s="1" t="s">
        <v>6470</v>
      </c>
      <c r="M144" s="8">
        <v>2</v>
      </c>
      <c r="N144" s="8">
        <v>10</v>
      </c>
      <c r="O144" s="4"/>
      <c r="P144" s="3"/>
      <c r="Q144" s="3" t="s">
        <v>6471</v>
      </c>
      <c r="R144" s="3" t="s">
        <v>6472</v>
      </c>
      <c r="S144" s="25">
        <v>4.368349</v>
      </c>
      <c r="T144" s="25">
        <v>44.740059</v>
      </c>
      <c r="U144" s="2">
        <v>31</v>
      </c>
      <c r="V144" s="3">
        <v>608333</v>
      </c>
      <c r="W144" s="3">
        <v>4954986</v>
      </c>
      <c r="X144" s="25">
        <v>2.257458</v>
      </c>
      <c r="Y144" s="25">
        <v>49.711192</v>
      </c>
      <c r="Z144" s="6"/>
      <c r="AA144" s="7" t="s">
        <v>5138</v>
      </c>
      <c r="AB144" s="8">
        <v>2016</v>
      </c>
      <c r="AC144" s="9">
        <v>42593</v>
      </c>
      <c r="AD144" s="10"/>
      <c r="AE144" s="31" t="s">
        <v>6473</v>
      </c>
    </row>
    <row r="145" spans="1:31" ht="12.75">
      <c r="A145" s="4" t="s">
        <v>6474</v>
      </c>
      <c r="B145" s="1" t="s">
        <v>5262</v>
      </c>
      <c r="C145" s="1" t="s">
        <v>6475</v>
      </c>
      <c r="D145" s="1" t="s">
        <v>6475</v>
      </c>
      <c r="E145" s="2">
        <v>841</v>
      </c>
      <c r="F145" s="2">
        <v>50</v>
      </c>
      <c r="G145" s="3" t="s">
        <v>6476</v>
      </c>
      <c r="H145" s="3" t="s">
        <v>6477</v>
      </c>
      <c r="I145" s="3" t="s">
        <v>6478</v>
      </c>
      <c r="J145" s="44" t="str">
        <f>HYPERLINK("https://www.centcols.org/util/geo/visuGen.php?code=FR-07-0841","FR-07-0841")</f>
        <v>FR-07-0841</v>
      </c>
      <c r="K145" s="3" t="s">
        <v>6479</v>
      </c>
      <c r="L145" s="1" t="s">
        <v>6480</v>
      </c>
      <c r="M145" s="8">
        <v>0</v>
      </c>
      <c r="N145" s="8">
        <v>0</v>
      </c>
      <c r="O145" s="4"/>
      <c r="P145" s="3"/>
      <c r="Q145" s="3" t="s">
        <v>6481</v>
      </c>
      <c r="R145" s="3" t="s">
        <v>6482</v>
      </c>
      <c r="S145" s="25">
        <v>4.28160599453777</v>
      </c>
      <c r="T145" s="25">
        <v>44.86428119013064</v>
      </c>
      <c r="U145" s="2">
        <v>31</v>
      </c>
      <c r="V145" s="3">
        <v>601248</v>
      </c>
      <c r="W145" s="3">
        <v>4968673</v>
      </c>
      <c r="X145" s="25">
        <v>2.1610818296743304</v>
      </c>
      <c r="Y145" s="25">
        <v>49.84921941179678</v>
      </c>
      <c r="Z145" s="6"/>
      <c r="AA145" s="7" t="s">
        <v>5138</v>
      </c>
      <c r="AB145" s="8">
        <v>2006</v>
      </c>
      <c r="AC145" s="9"/>
      <c r="AD145" s="10">
        <v>1</v>
      </c>
      <c r="AE145" s="31" t="s">
        <v>6290</v>
      </c>
    </row>
    <row r="146" spans="1:31" ht="12.75">
      <c r="A146" s="4" t="s">
        <v>6483</v>
      </c>
      <c r="B146" s="1" t="s">
        <v>6241</v>
      </c>
      <c r="C146" s="1" t="s">
        <v>6484</v>
      </c>
      <c r="D146" s="1" t="s">
        <v>6485</v>
      </c>
      <c r="E146" s="2">
        <v>845</v>
      </c>
      <c r="F146" s="2">
        <v>59</v>
      </c>
      <c r="G146" s="3" t="s">
        <v>6486</v>
      </c>
      <c r="H146" s="3" t="s">
        <v>6487</v>
      </c>
      <c r="I146" s="3" t="s">
        <v>6488</v>
      </c>
      <c r="J146" s="44" t="str">
        <f>HYPERLINK("https://www.centcols.org/util/geo/visuGen.php?code=FR-07-0845","FR-07-0845")</f>
        <v>FR-07-0845</v>
      </c>
      <c r="K146" s="3" t="s">
        <v>6489</v>
      </c>
      <c r="L146" s="1" t="s">
        <v>6490</v>
      </c>
      <c r="M146" s="8">
        <v>0</v>
      </c>
      <c r="N146" s="8">
        <v>0</v>
      </c>
      <c r="O146" s="4"/>
      <c r="P146" s="3"/>
      <c r="Q146" s="3" t="s">
        <v>6491</v>
      </c>
      <c r="R146" s="3" t="s">
        <v>6492</v>
      </c>
      <c r="S146" s="25">
        <v>4.0560308431720085</v>
      </c>
      <c r="T146" s="25">
        <v>44.50815103367995</v>
      </c>
      <c r="U146" s="2">
        <v>31</v>
      </c>
      <c r="V146" s="3">
        <v>583940</v>
      </c>
      <c r="W146" s="3">
        <v>4928857</v>
      </c>
      <c r="X146" s="25">
        <v>1.9104461350347035</v>
      </c>
      <c r="Y146" s="25">
        <v>49.45351386341747</v>
      </c>
      <c r="Z146" s="6"/>
      <c r="AA146" s="7" t="s">
        <v>5138</v>
      </c>
      <c r="AB146" s="8" t="s">
        <v>5571</v>
      </c>
      <c r="AC146" s="9">
        <v>41250</v>
      </c>
      <c r="AD146" s="10">
        <v>5</v>
      </c>
      <c r="AE146" s="31" t="s">
        <v>6290</v>
      </c>
    </row>
    <row r="147" spans="1:31" ht="12.75">
      <c r="A147" s="4" t="s">
        <v>6493</v>
      </c>
      <c r="B147" s="1" t="s">
        <v>5815</v>
      </c>
      <c r="C147" s="1" t="s">
        <v>6494</v>
      </c>
      <c r="D147" s="1" t="s">
        <v>6495</v>
      </c>
      <c r="E147" s="2">
        <v>890</v>
      </c>
      <c r="F147" s="2">
        <v>59</v>
      </c>
      <c r="G147" s="3" t="s">
        <v>6486</v>
      </c>
      <c r="H147" s="3" t="s">
        <v>6496</v>
      </c>
      <c r="I147" s="3" t="s">
        <v>6497</v>
      </c>
      <c r="J147" s="44" t="str">
        <f>HYPERLINK("https://www.centcols.org/util/geo/visuGen.php?code=FR-07-0890a","FR-07-0890a")</f>
        <v>FR-07-0890a</v>
      </c>
      <c r="K147" s="3" t="s">
        <v>6498</v>
      </c>
      <c r="L147" s="1" t="s">
        <v>6499</v>
      </c>
      <c r="M147" s="8">
        <v>0</v>
      </c>
      <c r="N147" s="8">
        <v>0</v>
      </c>
      <c r="O147" s="4"/>
      <c r="P147" s="3"/>
      <c r="Q147" s="3" t="s">
        <v>6500</v>
      </c>
      <c r="R147" s="3" t="s">
        <v>6501</v>
      </c>
      <c r="S147" s="25">
        <v>4.066480729492547</v>
      </c>
      <c r="T147" s="25">
        <v>44.50362130154956</v>
      </c>
      <c r="U147" s="2">
        <v>31</v>
      </c>
      <c r="V147" s="3">
        <v>584778</v>
      </c>
      <c r="W147" s="3">
        <v>4928365</v>
      </c>
      <c r="X147" s="25">
        <v>1.922056625954143</v>
      </c>
      <c r="Y147" s="25">
        <v>49.44848070292327</v>
      </c>
      <c r="Z147" s="6"/>
      <c r="AA147" s="7" t="s">
        <v>5138</v>
      </c>
      <c r="AB147" s="8" t="s">
        <v>5571</v>
      </c>
      <c r="AC147" s="9">
        <v>41250</v>
      </c>
      <c r="AD147" s="10">
        <v>5</v>
      </c>
      <c r="AE147" s="31" t="s">
        <v>6290</v>
      </c>
    </row>
    <row r="148" spans="1:31" ht="12.75">
      <c r="A148" s="4" t="s">
        <v>6502</v>
      </c>
      <c r="B148" s="1" t="s">
        <v>5262</v>
      </c>
      <c r="C148" s="1" t="s">
        <v>6503</v>
      </c>
      <c r="D148" s="1" t="s">
        <v>6503</v>
      </c>
      <c r="E148" s="2">
        <v>891</v>
      </c>
      <c r="F148" s="2">
        <v>52</v>
      </c>
      <c r="G148" s="3" t="s">
        <v>6504</v>
      </c>
      <c r="H148" s="3" t="s">
        <v>6505</v>
      </c>
      <c r="I148" s="3" t="s">
        <v>6506</v>
      </c>
      <c r="J148" s="44" t="str">
        <f>HYPERLINK("https://www.centcols.org/util/geo/visuGen.php?code=FR-07-0891","FR-07-0891")</f>
        <v>FR-07-0891</v>
      </c>
      <c r="K148" s="3" t="s">
        <v>6507</v>
      </c>
      <c r="L148" s="1" t="s">
        <v>6508</v>
      </c>
      <c r="M148" s="8">
        <v>0</v>
      </c>
      <c r="N148" s="8">
        <v>0</v>
      </c>
      <c r="O148" s="4"/>
      <c r="P148" s="3"/>
      <c r="Q148" s="3" t="s">
        <v>6509</v>
      </c>
      <c r="R148" s="3" t="s">
        <v>6510</v>
      </c>
      <c r="S148" s="25">
        <v>4.455967806570192</v>
      </c>
      <c r="T148" s="25">
        <v>45.0770195728034</v>
      </c>
      <c r="U148" s="2">
        <v>31</v>
      </c>
      <c r="V148" s="3">
        <v>614599</v>
      </c>
      <c r="W148" s="3">
        <v>4992537</v>
      </c>
      <c r="X148" s="25">
        <v>2.3548106023288033</v>
      </c>
      <c r="Y148" s="25">
        <v>50.085598329626926</v>
      </c>
      <c r="Z148" s="6"/>
      <c r="AA148" s="7" t="s">
        <v>5138</v>
      </c>
      <c r="AB148" s="8">
        <v>2006</v>
      </c>
      <c r="AC148" s="9"/>
      <c r="AD148" s="10">
        <v>1</v>
      </c>
      <c r="AE148" s="31" t="s">
        <v>6290</v>
      </c>
    </row>
    <row r="149" spans="1:31" ht="12.75">
      <c r="A149" s="4" t="s">
        <v>6511</v>
      </c>
      <c r="B149" s="1" t="s">
        <v>5262</v>
      </c>
      <c r="C149" s="1" t="s">
        <v>6512</v>
      </c>
      <c r="D149" s="1" t="s">
        <v>6512</v>
      </c>
      <c r="E149" s="2">
        <v>914</v>
      </c>
      <c r="F149" s="2">
        <v>52</v>
      </c>
      <c r="G149" s="3" t="s">
        <v>6413</v>
      </c>
      <c r="H149" s="3" t="s">
        <v>6513</v>
      </c>
      <c r="I149" s="3" t="s">
        <v>6514</v>
      </c>
      <c r="J149" s="44" t="str">
        <f>HYPERLINK("https://www.centcols.org/util/geo/visuGen.php?code=FR-07-0914","FR-07-0914")</f>
        <v>FR-07-0914</v>
      </c>
      <c r="K149" s="3"/>
      <c r="L149" s="1" t="s">
        <v>5257</v>
      </c>
      <c r="M149" s="8">
        <v>1</v>
      </c>
      <c r="N149" s="8">
        <v>10</v>
      </c>
      <c r="O149" s="4"/>
      <c r="P149" s="3"/>
      <c r="Q149" s="3" t="s">
        <v>6515</v>
      </c>
      <c r="R149" s="3" t="s">
        <v>6516</v>
      </c>
      <c r="S149" s="25">
        <v>4.376274500636561</v>
      </c>
      <c r="T149" s="25">
        <v>44.91450707118236</v>
      </c>
      <c r="U149" s="2">
        <v>31</v>
      </c>
      <c r="V149" s="3">
        <v>608633</v>
      </c>
      <c r="W149" s="3">
        <v>4974375</v>
      </c>
      <c r="X149" s="25">
        <v>2.2662654350525147</v>
      </c>
      <c r="Y149" s="25">
        <v>49.90502654654809</v>
      </c>
      <c r="Z149" s="6"/>
      <c r="AA149" s="7" t="s">
        <v>5138</v>
      </c>
      <c r="AB149" s="8">
        <v>2005</v>
      </c>
      <c r="AC149" s="9"/>
      <c r="AD149" s="10">
        <v>1</v>
      </c>
      <c r="AE149" s="31" t="s">
        <v>6517</v>
      </c>
    </row>
    <row r="150" spans="1:31" ht="12.75">
      <c r="A150" s="4" t="s">
        <v>6518</v>
      </c>
      <c r="B150" s="1" t="s">
        <v>5815</v>
      </c>
      <c r="C150" s="1" t="s">
        <v>6519</v>
      </c>
      <c r="D150" s="1" t="s">
        <v>6520</v>
      </c>
      <c r="E150" s="2">
        <v>995</v>
      </c>
      <c r="F150" s="2">
        <v>52</v>
      </c>
      <c r="G150" s="3" t="s">
        <v>6460</v>
      </c>
      <c r="H150" s="3" t="s">
        <v>6521</v>
      </c>
      <c r="I150" s="3" t="s">
        <v>6522</v>
      </c>
      <c r="J150" s="44" t="str">
        <f>HYPERLINK("https://www.centcols.org/util/geo/visuGen.php?code=FR-07-0995","FR-07-0995")</f>
        <v>FR-07-0995</v>
      </c>
      <c r="K150" s="3"/>
      <c r="L150" s="1" t="s">
        <v>6523</v>
      </c>
      <c r="M150" s="8">
        <v>1</v>
      </c>
      <c r="N150" s="8">
        <v>10</v>
      </c>
      <c r="O150" s="4"/>
      <c r="P150" s="3"/>
      <c r="Q150" s="3" t="s">
        <v>6524</v>
      </c>
      <c r="R150" s="3" t="s">
        <v>6525</v>
      </c>
      <c r="S150" s="25">
        <v>4.598058279168528</v>
      </c>
      <c r="T150" s="25">
        <v>45.190744693200145</v>
      </c>
      <c r="U150" s="2">
        <v>31</v>
      </c>
      <c r="V150" s="3">
        <v>625533</v>
      </c>
      <c r="W150" s="3">
        <v>5005382</v>
      </c>
      <c r="X150" s="25">
        <v>2.5126834648701366</v>
      </c>
      <c r="Y150" s="25">
        <v>50.21196222916371</v>
      </c>
      <c r="Z150" s="6"/>
      <c r="AA150" s="7" t="s">
        <v>5138</v>
      </c>
      <c r="AB150" s="8">
        <v>2005</v>
      </c>
      <c r="AC150" s="9"/>
      <c r="AD150" s="10">
        <v>1</v>
      </c>
      <c r="AE150" s="31" t="s">
        <v>6526</v>
      </c>
    </row>
    <row r="151" spans="1:31" ht="12.75">
      <c r="A151" s="4" t="s">
        <v>6527</v>
      </c>
      <c r="B151" s="1" t="s">
        <v>6528</v>
      </c>
      <c r="C151" s="1" t="s">
        <v>6529</v>
      </c>
      <c r="D151" s="1" t="s">
        <v>6530</v>
      </c>
      <c r="E151" s="2">
        <v>1009</v>
      </c>
      <c r="F151" s="2">
        <v>52</v>
      </c>
      <c r="G151" s="3" t="s">
        <v>6377</v>
      </c>
      <c r="H151" s="3" t="s">
        <v>6531</v>
      </c>
      <c r="I151" s="3" t="s">
        <v>6532</v>
      </c>
      <c r="J151" s="44" t="str">
        <f>HYPERLINK("https://www.centcols.org/util/geo/visuGen.php?code=FR-07-1009","FR-07-1009")</f>
        <v>FR-07-1009</v>
      </c>
      <c r="K151" s="3" t="s">
        <v>6533</v>
      </c>
      <c r="L151" s="1" t="s">
        <v>6534</v>
      </c>
      <c r="M151" s="8">
        <v>0</v>
      </c>
      <c r="N151" s="8">
        <v>0</v>
      </c>
      <c r="O151" s="4"/>
      <c r="P151" s="3"/>
      <c r="Q151" s="3" t="s">
        <v>6535</v>
      </c>
      <c r="R151" s="3" t="s">
        <v>6536</v>
      </c>
      <c r="S151" s="25">
        <v>4.50908</v>
      </c>
      <c r="T151" s="25">
        <v>45.110552</v>
      </c>
      <c r="U151" s="2">
        <v>31</v>
      </c>
      <c r="V151" s="3">
        <v>618710</v>
      </c>
      <c r="W151" s="3">
        <v>4996339</v>
      </c>
      <c r="X151" s="25">
        <v>2.413822</v>
      </c>
      <c r="Y151" s="25">
        <v>50.122857</v>
      </c>
      <c r="Z151" s="6"/>
      <c r="AA151" s="7" t="s">
        <v>5138</v>
      </c>
      <c r="AB151" s="8" t="s">
        <v>5691</v>
      </c>
      <c r="AC151" s="9">
        <v>41988</v>
      </c>
      <c r="AD151" s="10"/>
      <c r="AE151" s="31" t="s">
        <v>6290</v>
      </c>
    </row>
    <row r="152" spans="1:31" ht="12.75">
      <c r="A152" s="4" t="s">
        <v>6537</v>
      </c>
      <c r="B152" s="1" t="s">
        <v>5589</v>
      </c>
      <c r="C152" s="1" t="s">
        <v>6538</v>
      </c>
      <c r="D152" s="1" t="s">
        <v>6539</v>
      </c>
      <c r="E152" s="2">
        <v>1060</v>
      </c>
      <c r="F152" s="2">
        <v>52</v>
      </c>
      <c r="G152" s="3" t="s">
        <v>6413</v>
      </c>
      <c r="H152" s="3" t="s">
        <v>6540</v>
      </c>
      <c r="I152" s="3" t="s">
        <v>6541</v>
      </c>
      <c r="J152" s="44" t="str">
        <f>HYPERLINK("https://www.centcols.org/util/geo/visuGen.php?code=FR-07-1060","FR-07-1060")</f>
        <v>FR-07-1060</v>
      </c>
      <c r="K152" s="3" t="s">
        <v>6542</v>
      </c>
      <c r="L152" s="1" t="s">
        <v>6543</v>
      </c>
      <c r="M152" s="8">
        <v>0</v>
      </c>
      <c r="N152" s="8">
        <v>0</v>
      </c>
      <c r="O152" s="4"/>
      <c r="P152" s="3"/>
      <c r="Q152" s="3" t="s">
        <v>6544</v>
      </c>
      <c r="R152" s="3" t="s">
        <v>6545</v>
      </c>
      <c r="S152" s="25">
        <v>4.440545971050283</v>
      </c>
      <c r="T152" s="25">
        <v>44.978701740252475</v>
      </c>
      <c r="U152" s="2">
        <v>31</v>
      </c>
      <c r="V152" s="3">
        <v>613579</v>
      </c>
      <c r="W152" s="3">
        <v>4981594</v>
      </c>
      <c r="X152" s="25">
        <v>2.3376754944672093</v>
      </c>
      <c r="Y152" s="25">
        <v>49.97635433966414</v>
      </c>
      <c r="Z152" s="6"/>
      <c r="AA152" s="7" t="s">
        <v>5138</v>
      </c>
      <c r="AB152" s="8">
        <v>2008</v>
      </c>
      <c r="AC152" s="9"/>
      <c r="AD152" s="10">
        <v>1</v>
      </c>
      <c r="AE152" s="31" t="s">
        <v>5149</v>
      </c>
    </row>
    <row r="153" spans="1:31" ht="12.75">
      <c r="A153" s="4" t="s">
        <v>6546</v>
      </c>
      <c r="B153" s="1" t="s">
        <v>5128</v>
      </c>
      <c r="C153" s="1" t="s">
        <v>6547</v>
      </c>
      <c r="D153" s="1" t="s">
        <v>6548</v>
      </c>
      <c r="E153" s="2">
        <v>1079</v>
      </c>
      <c r="F153" s="2">
        <v>59</v>
      </c>
      <c r="G153" s="3" t="s">
        <v>6486</v>
      </c>
      <c r="H153" s="3" t="s">
        <v>6549</v>
      </c>
      <c r="I153" s="3" t="s">
        <v>6550</v>
      </c>
      <c r="J153" s="44" t="str">
        <f>HYPERLINK("https://www.centcols.org/util/geo/visuGen.php?code=FR-07-1079","FR-07-1079")</f>
        <v>FR-07-1079</v>
      </c>
      <c r="K153" s="3" t="s">
        <v>6551</v>
      </c>
      <c r="L153" s="1" t="s">
        <v>6306</v>
      </c>
      <c r="M153" s="8">
        <v>0</v>
      </c>
      <c r="N153" s="8">
        <v>0</v>
      </c>
      <c r="O153" s="4"/>
      <c r="P153" s="3"/>
      <c r="Q153" s="3" t="s">
        <v>6552</v>
      </c>
      <c r="R153" s="3" t="s">
        <v>6553</v>
      </c>
      <c r="S153" s="25">
        <v>4.003890168920552</v>
      </c>
      <c r="T153" s="25">
        <v>44.53432361801135</v>
      </c>
      <c r="U153" s="2">
        <v>31</v>
      </c>
      <c r="V153" s="3">
        <v>579760</v>
      </c>
      <c r="W153" s="3">
        <v>4931712</v>
      </c>
      <c r="X153" s="25">
        <v>1.852514649630797</v>
      </c>
      <c r="Y153" s="25">
        <v>49.482595202506694</v>
      </c>
      <c r="Z153" s="6"/>
      <c r="AA153" s="7" t="s">
        <v>5138</v>
      </c>
      <c r="AB153" s="8" t="s">
        <v>5571</v>
      </c>
      <c r="AC153" s="9">
        <v>41209</v>
      </c>
      <c r="AD153" s="10">
        <v>1</v>
      </c>
      <c r="AE153" s="31" t="s">
        <v>6290</v>
      </c>
    </row>
    <row r="154" spans="1:31" ht="12.75">
      <c r="A154" s="4" t="s">
        <v>6554</v>
      </c>
      <c r="B154" s="1" t="s">
        <v>5128</v>
      </c>
      <c r="C154" s="1" t="s">
        <v>6555</v>
      </c>
      <c r="D154" s="1" t="s">
        <v>6556</v>
      </c>
      <c r="E154" s="2">
        <v>1080</v>
      </c>
      <c r="F154" s="2">
        <v>52</v>
      </c>
      <c r="G154" s="3" t="s">
        <v>6377</v>
      </c>
      <c r="H154" s="3" t="s">
        <v>6557</v>
      </c>
      <c r="I154" s="3" t="s">
        <v>6558</v>
      </c>
      <c r="J154" s="44" t="str">
        <f>HYPERLINK("https://www.centcols.org/util/geo/visuGen.php?code=FR-07-1080","FR-07-1080")</f>
        <v>FR-07-1080</v>
      </c>
      <c r="K154" s="3" t="s">
        <v>6559</v>
      </c>
      <c r="L154" s="1" t="s">
        <v>6560</v>
      </c>
      <c r="M154" s="8">
        <v>0</v>
      </c>
      <c r="N154" s="8">
        <v>0</v>
      </c>
      <c r="O154" s="4"/>
      <c r="P154" s="3"/>
      <c r="Q154" s="3" t="s">
        <v>6561</v>
      </c>
      <c r="R154" s="3" t="s">
        <v>6562</v>
      </c>
      <c r="S154" s="25">
        <v>4.5358934051101505</v>
      </c>
      <c r="T154" s="25">
        <v>45.1190950565591</v>
      </c>
      <c r="U154" s="2">
        <v>31</v>
      </c>
      <c r="V154" s="3">
        <v>620801</v>
      </c>
      <c r="W154" s="3">
        <v>4997328</v>
      </c>
      <c r="X154" s="25">
        <v>2.4436136484055404</v>
      </c>
      <c r="Y154" s="25">
        <v>50.13234953955822</v>
      </c>
      <c r="Z154" s="6"/>
      <c r="AA154" s="7" t="s">
        <v>5138</v>
      </c>
      <c r="AB154" s="8">
        <v>2006</v>
      </c>
      <c r="AC154" s="9"/>
      <c r="AD154" s="10">
        <v>1</v>
      </c>
      <c r="AE154" s="31" t="s">
        <v>6290</v>
      </c>
    </row>
    <row r="155" spans="1:31" ht="12.75">
      <c r="A155" s="106" t="s">
        <v>6563</v>
      </c>
      <c r="B155" s="107" t="s">
        <v>5981</v>
      </c>
      <c r="C155" s="107" t="s">
        <v>6564</v>
      </c>
      <c r="D155" s="107" t="s">
        <v>6897</v>
      </c>
      <c r="E155" s="108">
        <v>1137</v>
      </c>
      <c r="F155" s="108">
        <v>59</v>
      </c>
      <c r="G155" s="108" t="s">
        <v>6565</v>
      </c>
      <c r="H155" s="108" t="s">
        <v>6898</v>
      </c>
      <c r="I155" s="108" t="s">
        <v>6899</v>
      </c>
      <c r="J155" s="44" t="s">
        <v>6563</v>
      </c>
      <c r="K155" s="108" t="s">
        <v>6900</v>
      </c>
      <c r="L155" s="107" t="s">
        <v>6901</v>
      </c>
      <c r="M155" s="109">
        <v>0</v>
      </c>
      <c r="N155" s="109">
        <v>0</v>
      </c>
      <c r="P155" s="110"/>
      <c r="Q155" s="108" t="s">
        <v>6902</v>
      </c>
      <c r="R155" s="108" t="s">
        <v>6980</v>
      </c>
      <c r="S155" s="117" t="s">
        <v>6903</v>
      </c>
      <c r="T155" s="117" t="s">
        <v>6904</v>
      </c>
      <c r="U155" s="108">
        <v>31</v>
      </c>
      <c r="V155" s="3">
        <v>575050</v>
      </c>
      <c r="W155" s="3">
        <v>4938234</v>
      </c>
      <c r="X155" s="117" t="s">
        <v>6905</v>
      </c>
      <c r="Y155" s="117" t="s">
        <v>6906</v>
      </c>
      <c r="Z155" s="6"/>
      <c r="AA155" s="7" t="s">
        <v>5138</v>
      </c>
      <c r="AB155" s="8">
        <v>2006</v>
      </c>
      <c r="AC155" s="9"/>
      <c r="AD155" s="10">
        <v>1</v>
      </c>
      <c r="AE155" s="31" t="s">
        <v>6566</v>
      </c>
    </row>
    <row r="156" spans="1:31" ht="12.75">
      <c r="A156" s="4" t="s">
        <v>6567</v>
      </c>
      <c r="B156" s="1" t="s">
        <v>5128</v>
      </c>
      <c r="C156" s="1" t="s">
        <v>6568</v>
      </c>
      <c r="D156" s="1" t="s">
        <v>6569</v>
      </c>
      <c r="E156" s="2">
        <v>1088</v>
      </c>
      <c r="F156" s="2">
        <v>52</v>
      </c>
      <c r="G156" s="3" t="s">
        <v>6504</v>
      </c>
      <c r="H156" s="3" t="s">
        <v>6570</v>
      </c>
      <c r="I156" s="3" t="s">
        <v>6571</v>
      </c>
      <c r="J156" s="44" t="str">
        <f>HYPERLINK("https://www.centcols.org/util/geo/visuGen.php?code=FR-07-1088","FR-07-1088")</f>
        <v>FR-07-1088</v>
      </c>
      <c r="K156" s="3" t="s">
        <v>6572</v>
      </c>
      <c r="L156" s="1" t="s">
        <v>6573</v>
      </c>
      <c r="M156" s="8">
        <v>0</v>
      </c>
      <c r="N156" s="8">
        <v>0</v>
      </c>
      <c r="O156" s="4"/>
      <c r="P156" s="3"/>
      <c r="Q156" s="3" t="s">
        <v>6574</v>
      </c>
      <c r="R156" s="3" t="s">
        <v>6575</v>
      </c>
      <c r="S156" s="25">
        <v>4.4068873467343</v>
      </c>
      <c r="T156" s="25">
        <v>45.01856584959235</v>
      </c>
      <c r="U156" s="2">
        <v>31</v>
      </c>
      <c r="V156" s="3">
        <v>610848</v>
      </c>
      <c r="W156" s="3">
        <v>4985976</v>
      </c>
      <c r="X156" s="25">
        <v>2.3002786820475345</v>
      </c>
      <c r="Y156" s="25">
        <v>50.02064876901142</v>
      </c>
      <c r="Z156" s="6"/>
      <c r="AA156" s="7" t="s">
        <v>5138</v>
      </c>
      <c r="AB156" s="8">
        <v>2006</v>
      </c>
      <c r="AC156" s="9"/>
      <c r="AD156" s="10">
        <v>1</v>
      </c>
      <c r="AE156" s="31" t="s">
        <v>6290</v>
      </c>
    </row>
    <row r="157" spans="1:31" ht="12.75">
      <c r="A157" s="4" t="s">
        <v>6576</v>
      </c>
      <c r="B157" s="1" t="s">
        <v>5128</v>
      </c>
      <c r="C157" s="1" t="s">
        <v>6577</v>
      </c>
      <c r="D157" s="1" t="s">
        <v>6578</v>
      </c>
      <c r="E157" s="2">
        <v>1115</v>
      </c>
      <c r="F157" s="2">
        <v>52</v>
      </c>
      <c r="G157" s="3" t="s">
        <v>6504</v>
      </c>
      <c r="H157" s="3" t="s">
        <v>6579</v>
      </c>
      <c r="I157" s="3" t="s">
        <v>6580</v>
      </c>
      <c r="J157" s="44" t="str">
        <f>HYPERLINK("https://www.centcols.org/util/geo/visuGen.php?code=FR-07-1115","FR-07-1115")</f>
        <v>FR-07-1115</v>
      </c>
      <c r="K157" s="3" t="s">
        <v>6581</v>
      </c>
      <c r="L157" s="1" t="s">
        <v>6534</v>
      </c>
      <c r="M157" s="8">
        <v>0</v>
      </c>
      <c r="N157" s="8">
        <v>0</v>
      </c>
      <c r="O157" s="4"/>
      <c r="P157" s="3"/>
      <c r="Q157" s="3" t="s">
        <v>6582</v>
      </c>
      <c r="R157" s="3" t="s">
        <v>6583</v>
      </c>
      <c r="S157" s="25">
        <v>4.41665</v>
      </c>
      <c r="T157" s="25">
        <v>45.04104</v>
      </c>
      <c r="U157" s="2">
        <v>31</v>
      </c>
      <c r="V157" s="3">
        <v>611574</v>
      </c>
      <c r="W157" s="3">
        <v>4988486</v>
      </c>
      <c r="X157" s="25">
        <v>2.311126</v>
      </c>
      <c r="Y157" s="25">
        <v>50.046</v>
      </c>
      <c r="Z157" s="6"/>
      <c r="AA157" s="7" t="s">
        <v>5138</v>
      </c>
      <c r="AB157" s="8">
        <v>2011</v>
      </c>
      <c r="AC157" s="9"/>
      <c r="AD157" s="10">
        <v>1</v>
      </c>
      <c r="AE157" s="31" t="s">
        <v>6290</v>
      </c>
    </row>
    <row r="158" spans="1:31" ht="12.75">
      <c r="A158" s="4" t="s">
        <v>6584</v>
      </c>
      <c r="B158" s="1" t="s">
        <v>5262</v>
      </c>
      <c r="C158" s="1" t="s">
        <v>6585</v>
      </c>
      <c r="D158" s="1" t="s">
        <v>6585</v>
      </c>
      <c r="E158" s="2">
        <v>1175</v>
      </c>
      <c r="F158" s="2">
        <v>59</v>
      </c>
      <c r="G158" s="3" t="s">
        <v>6486</v>
      </c>
      <c r="H158" s="3" t="s">
        <v>6586</v>
      </c>
      <c r="I158" s="3" t="s">
        <v>6587</v>
      </c>
      <c r="J158" s="44" t="str">
        <f>HYPERLINK("https://www.centcols.org/util/geo/visuGen.php?code=FR-07-1175","FR-07-1175")</f>
        <v>FR-07-1175</v>
      </c>
      <c r="K158" s="3" t="s">
        <v>6588</v>
      </c>
      <c r="L158" s="1" t="s">
        <v>6589</v>
      </c>
      <c r="M158" s="8">
        <v>0</v>
      </c>
      <c r="N158" s="8">
        <v>0</v>
      </c>
      <c r="O158" s="4"/>
      <c r="P158" s="3"/>
      <c r="Q158" s="3" t="s">
        <v>6590</v>
      </c>
      <c r="R158" s="3" t="s">
        <v>6591</v>
      </c>
      <c r="S158" s="25">
        <v>4.032142945587545</v>
      </c>
      <c r="T158" s="25">
        <v>44.57041177492517</v>
      </c>
      <c r="U158" s="2">
        <v>31</v>
      </c>
      <c r="V158" s="3">
        <v>581954</v>
      </c>
      <c r="W158" s="3">
        <v>4935748</v>
      </c>
      <c r="X158" s="25">
        <v>1.88390649721626</v>
      </c>
      <c r="Y158" s="25">
        <v>49.52269374752496</v>
      </c>
      <c r="Z158" s="6"/>
      <c r="AA158" s="7" t="s">
        <v>5138</v>
      </c>
      <c r="AB158" s="8">
        <v>2006</v>
      </c>
      <c r="AC158" s="9">
        <v>40928</v>
      </c>
      <c r="AD158" s="10">
        <v>1</v>
      </c>
      <c r="AE158" s="31" t="s">
        <v>6290</v>
      </c>
    </row>
    <row r="159" spans="1:31" ht="12.75">
      <c r="A159" s="4" t="s">
        <v>6592</v>
      </c>
      <c r="B159" s="1" t="s">
        <v>5815</v>
      </c>
      <c r="C159" s="1" t="s">
        <v>6593</v>
      </c>
      <c r="D159" s="1" t="s">
        <v>6594</v>
      </c>
      <c r="E159" s="2">
        <v>1255</v>
      </c>
      <c r="F159" s="2">
        <v>50</v>
      </c>
      <c r="G159" s="3" t="s">
        <v>6595</v>
      </c>
      <c r="H159" s="3" t="s">
        <v>6596</v>
      </c>
      <c r="I159" s="3" t="s">
        <v>6597</v>
      </c>
      <c r="J159" s="44" t="str">
        <f>HYPERLINK("https://www.centcols.org/util/geo/visuGen.php?code=FR-07-1255","FR-07-1255")</f>
        <v>FR-07-1255</v>
      </c>
      <c r="K159" s="3" t="s">
        <v>6598</v>
      </c>
      <c r="L159" s="1" t="s">
        <v>6599</v>
      </c>
      <c r="M159" s="8">
        <v>0</v>
      </c>
      <c r="N159" s="8">
        <v>0</v>
      </c>
      <c r="O159" s="4"/>
      <c r="P159" s="3"/>
      <c r="Q159" s="3" t="s">
        <v>6600</v>
      </c>
      <c r="R159" s="3" t="s">
        <v>6601</v>
      </c>
      <c r="S159" s="25">
        <v>4.215992159105871</v>
      </c>
      <c r="T159" s="25">
        <v>44.77192646928692</v>
      </c>
      <c r="U159" s="2">
        <v>31</v>
      </c>
      <c r="V159" s="3">
        <v>596218</v>
      </c>
      <c r="W159" s="3">
        <v>4958334</v>
      </c>
      <c r="X159" s="25">
        <v>2.088179545462355</v>
      </c>
      <c r="Y159" s="25">
        <v>49.746601650117185</v>
      </c>
      <c r="Z159" s="6"/>
      <c r="AA159" s="7" t="s">
        <v>5138</v>
      </c>
      <c r="AB159" s="8">
        <v>2006</v>
      </c>
      <c r="AC159" s="9"/>
      <c r="AD159" s="10">
        <v>1</v>
      </c>
      <c r="AE159" s="31" t="s">
        <v>6290</v>
      </c>
    </row>
    <row r="160" spans="1:31" ht="12.75">
      <c r="A160" s="4" t="s">
        <v>6602</v>
      </c>
      <c r="B160" s="1" t="s">
        <v>5534</v>
      </c>
      <c r="C160" s="1" t="s">
        <v>6603</v>
      </c>
      <c r="D160" s="1" t="s">
        <v>6604</v>
      </c>
      <c r="E160" s="2">
        <v>1260</v>
      </c>
      <c r="F160" s="2">
        <v>50</v>
      </c>
      <c r="G160" s="3" t="s">
        <v>6605</v>
      </c>
      <c r="H160" s="3" t="s">
        <v>6606</v>
      </c>
      <c r="I160" s="3" t="s">
        <v>6607</v>
      </c>
      <c r="J160" s="44" t="str">
        <f>HYPERLINK("https://www.centcols.org/util/geo/visuGen.php?code=FR-07-1260","FR-07-1260")</f>
        <v>FR-07-1260</v>
      </c>
      <c r="K160" s="3" t="s">
        <v>6608</v>
      </c>
      <c r="L160" s="1" t="s">
        <v>6609</v>
      </c>
      <c r="M160" s="8">
        <v>0</v>
      </c>
      <c r="N160" s="8">
        <v>0</v>
      </c>
      <c r="O160" s="4"/>
      <c r="P160" s="3"/>
      <c r="Q160" s="3" t="s">
        <v>6610</v>
      </c>
      <c r="R160" s="3" t="s">
        <v>6611</v>
      </c>
      <c r="S160" s="25">
        <v>4.129912101735373</v>
      </c>
      <c r="T160" s="25">
        <v>44.84382179924299</v>
      </c>
      <c r="U160" s="2">
        <v>31</v>
      </c>
      <c r="V160" s="3">
        <v>589296</v>
      </c>
      <c r="W160" s="3">
        <v>4966222</v>
      </c>
      <c r="X160" s="25">
        <v>1.992539877163953</v>
      </c>
      <c r="Y160" s="25">
        <v>49.82648668127586</v>
      </c>
      <c r="Z160" s="6"/>
      <c r="AA160" s="7" t="s">
        <v>5138</v>
      </c>
      <c r="AB160" s="8" t="s">
        <v>5571</v>
      </c>
      <c r="AC160" s="9">
        <v>41347</v>
      </c>
      <c r="AD160" s="10">
        <v>29</v>
      </c>
      <c r="AE160" s="31" t="s">
        <v>6290</v>
      </c>
    </row>
    <row r="161" spans="1:31" ht="12.75">
      <c r="A161" s="4" t="s">
        <v>6612</v>
      </c>
      <c r="B161" s="1" t="s">
        <v>5262</v>
      </c>
      <c r="C161" s="1" t="s">
        <v>6613</v>
      </c>
      <c r="D161" s="1" t="s">
        <v>6613</v>
      </c>
      <c r="E161" s="2">
        <v>1262</v>
      </c>
      <c r="F161" s="2">
        <v>59</v>
      </c>
      <c r="G161" s="3" t="s">
        <v>6595</v>
      </c>
      <c r="H161" s="3" t="s">
        <v>6614</v>
      </c>
      <c r="I161" s="3" t="s">
        <v>6615</v>
      </c>
      <c r="J161" s="44" t="str">
        <f>HYPERLINK("https://www.centcols.org/util/geo/visuGen.php?code=FR-07-1262","FR-07-1262")</f>
        <v>FR-07-1262</v>
      </c>
      <c r="K161" s="3" t="s">
        <v>6616</v>
      </c>
      <c r="L161" s="1" t="s">
        <v>6617</v>
      </c>
      <c r="M161" s="8">
        <v>0</v>
      </c>
      <c r="N161" s="8">
        <v>0</v>
      </c>
      <c r="O161" s="4"/>
      <c r="P161" s="3"/>
      <c r="Q161" s="3" t="s">
        <v>6618</v>
      </c>
      <c r="R161" s="3" t="s">
        <v>6619</v>
      </c>
      <c r="S161" s="25">
        <v>4.14891677105028</v>
      </c>
      <c r="T161" s="25">
        <v>44.73763148507352</v>
      </c>
      <c r="U161" s="2">
        <v>31</v>
      </c>
      <c r="V161" s="3">
        <v>590965</v>
      </c>
      <c r="W161" s="3">
        <v>4954447</v>
      </c>
      <c r="X161" s="25">
        <v>2.0136539303210808</v>
      </c>
      <c r="Y161" s="25">
        <v>49.7084957736707</v>
      </c>
      <c r="Z161" s="6"/>
      <c r="AA161" s="7" t="s">
        <v>5138</v>
      </c>
      <c r="AB161" s="8">
        <v>2008</v>
      </c>
      <c r="AC161" s="9"/>
      <c r="AD161" s="10">
        <v>1</v>
      </c>
      <c r="AE161" s="31" t="s">
        <v>6620</v>
      </c>
    </row>
    <row r="162" spans="1:31" ht="12.75">
      <c r="A162" s="4" t="s">
        <v>6621</v>
      </c>
      <c r="B162" s="1" t="s">
        <v>5923</v>
      </c>
      <c r="C162" s="1" t="s">
        <v>6622</v>
      </c>
      <c r="D162" s="1" t="s">
        <v>6623</v>
      </c>
      <c r="E162" s="2">
        <v>1320</v>
      </c>
      <c r="F162" s="2">
        <v>50</v>
      </c>
      <c r="G162" s="3" t="s">
        <v>6595</v>
      </c>
      <c r="H162" s="3" t="s">
        <v>6624</v>
      </c>
      <c r="I162" s="3" t="s">
        <v>6625</v>
      </c>
      <c r="J162" s="44" t="str">
        <f>HYPERLINK("https://www.centcols.org/util/geo/visuGen.php?code=FR-07-1320","FR-07-1320")</f>
        <v>FR-07-1320</v>
      </c>
      <c r="K162" s="3" t="s">
        <v>6626</v>
      </c>
      <c r="L162" s="1" t="s">
        <v>6627</v>
      </c>
      <c r="M162" s="8">
        <v>0</v>
      </c>
      <c r="N162" s="8">
        <v>0</v>
      </c>
      <c r="O162" s="4"/>
      <c r="P162" s="3"/>
      <c r="Q162" s="3" t="s">
        <v>6628</v>
      </c>
      <c r="R162" s="3" t="s">
        <v>6629</v>
      </c>
      <c r="S162" s="25">
        <v>4.2993583874411625</v>
      </c>
      <c r="T162" s="25">
        <v>44.80836871769407</v>
      </c>
      <c r="U162" s="2">
        <v>31</v>
      </c>
      <c r="V162" s="3">
        <v>602750</v>
      </c>
      <c r="W162" s="3">
        <v>4962484</v>
      </c>
      <c r="X162" s="25">
        <v>2.1808054676742263</v>
      </c>
      <c r="Y162" s="25">
        <v>49.787093509148875</v>
      </c>
      <c r="Z162" s="6"/>
      <c r="AA162" s="7" t="s">
        <v>5138</v>
      </c>
      <c r="AB162" s="8" t="s">
        <v>5571</v>
      </c>
      <c r="AC162" s="9">
        <v>41303</v>
      </c>
      <c r="AD162" s="10">
        <v>18</v>
      </c>
      <c r="AE162" s="31" t="s">
        <v>6290</v>
      </c>
    </row>
    <row r="163" spans="1:31" ht="22.5">
      <c r="A163" s="4" t="s">
        <v>6630</v>
      </c>
      <c r="B163" s="1" t="s">
        <v>6631</v>
      </c>
      <c r="C163" s="1" t="s">
        <v>6632</v>
      </c>
      <c r="D163" s="1" t="s">
        <v>6633</v>
      </c>
      <c r="E163" s="2">
        <v>1332</v>
      </c>
      <c r="F163" s="2">
        <v>50</v>
      </c>
      <c r="G163" s="3" t="s">
        <v>6476</v>
      </c>
      <c r="H163" s="3" t="s">
        <v>6634</v>
      </c>
      <c r="I163" s="3" t="s">
        <v>6635</v>
      </c>
      <c r="J163" s="44" t="str">
        <f>HYPERLINK("https://www.centcols.org/util/geo/visuGen.php?code=FR-07-1332","FR-07-1332")</f>
        <v>FR-07-1332</v>
      </c>
      <c r="K163" s="3" t="s">
        <v>6636</v>
      </c>
      <c r="L163" s="1" t="s">
        <v>6637</v>
      </c>
      <c r="M163" s="8">
        <v>0</v>
      </c>
      <c r="N163" s="8">
        <v>0</v>
      </c>
      <c r="O163" s="4"/>
      <c r="P163" s="3"/>
      <c r="Q163" s="3" t="s">
        <v>6638</v>
      </c>
      <c r="R163" s="3" t="s">
        <v>6639</v>
      </c>
      <c r="S163" s="25">
        <v>4.2079811046646105</v>
      </c>
      <c r="T163" s="25">
        <v>44.918221486630564</v>
      </c>
      <c r="U163" s="2">
        <v>31</v>
      </c>
      <c r="V163" s="3">
        <v>595343</v>
      </c>
      <c r="W163" s="3">
        <v>4974576</v>
      </c>
      <c r="X163" s="25">
        <v>2.0792799308527576</v>
      </c>
      <c r="Y163" s="25">
        <v>49.909154133399404</v>
      </c>
      <c r="Z163" s="6"/>
      <c r="AA163" s="7" t="s">
        <v>5138</v>
      </c>
      <c r="AB163" s="8">
        <v>2006</v>
      </c>
      <c r="AC163" s="9"/>
      <c r="AD163" s="10">
        <v>1</v>
      </c>
      <c r="AE163" s="31" t="s">
        <v>6290</v>
      </c>
    </row>
    <row r="164" spans="1:31" ht="12.75">
      <c r="A164" s="4" t="s">
        <v>6640</v>
      </c>
      <c r="B164" s="1" t="s">
        <v>5923</v>
      </c>
      <c r="C164" s="1" t="s">
        <v>6641</v>
      </c>
      <c r="D164" s="1" t="s">
        <v>6642</v>
      </c>
      <c r="E164" s="2">
        <v>1378</v>
      </c>
      <c r="F164" s="2">
        <v>59</v>
      </c>
      <c r="G164" s="3" t="s">
        <v>6643</v>
      </c>
      <c r="H164" s="3" t="s">
        <v>6644</v>
      </c>
      <c r="I164" s="3" t="s">
        <v>6645</v>
      </c>
      <c r="J164" s="44" t="str">
        <f>HYPERLINK("https://www.centcols.org/util/geo/visuGen.php?code=FR-07-1378","FR-07-1378")</f>
        <v>FR-07-1378</v>
      </c>
      <c r="K164" s="3" t="s">
        <v>6646</v>
      </c>
      <c r="L164" s="1" t="s">
        <v>6647</v>
      </c>
      <c r="M164" s="8">
        <v>0</v>
      </c>
      <c r="N164" s="8">
        <v>0</v>
      </c>
      <c r="O164" s="4"/>
      <c r="P164" s="3"/>
      <c r="Q164" s="3" t="s">
        <v>6648</v>
      </c>
      <c r="R164" s="3" t="s">
        <v>6649</v>
      </c>
      <c r="S164" s="25">
        <v>4.052419</v>
      </c>
      <c r="T164" s="25">
        <v>44.698988</v>
      </c>
      <c r="U164" s="2">
        <v>31</v>
      </c>
      <c r="V164" s="3">
        <v>583380</v>
      </c>
      <c r="W164" s="3">
        <v>4950051</v>
      </c>
      <c r="X164" s="25">
        <v>1.906438</v>
      </c>
      <c r="Y164" s="25">
        <v>49.666</v>
      </c>
      <c r="Z164" s="6"/>
      <c r="AA164" s="7" t="s">
        <v>5138</v>
      </c>
      <c r="AB164" s="8" t="s">
        <v>5571</v>
      </c>
      <c r="AC164" s="9">
        <v>40928</v>
      </c>
      <c r="AD164" s="10">
        <v>1</v>
      </c>
      <c r="AE164" s="31" t="s">
        <v>6290</v>
      </c>
    </row>
    <row r="165" spans="1:31" ht="12.75">
      <c r="A165" s="4" t="s">
        <v>6650</v>
      </c>
      <c r="B165" s="1" t="s">
        <v>5128</v>
      </c>
      <c r="C165" s="1" t="s">
        <v>6651</v>
      </c>
      <c r="D165" s="1" t="s">
        <v>6652</v>
      </c>
      <c r="E165" s="2">
        <v>1411</v>
      </c>
      <c r="F165" s="2">
        <v>50</v>
      </c>
      <c r="G165" s="3" t="s">
        <v>6595</v>
      </c>
      <c r="H165" s="3" t="s">
        <v>6653</v>
      </c>
      <c r="I165" s="3" t="s">
        <v>6654</v>
      </c>
      <c r="J165" s="44" t="str">
        <f>HYPERLINK("https://www.centcols.org/util/geo/visuGen.php?code=FR-07-1411","FR-07-1411")</f>
        <v>FR-07-1411</v>
      </c>
      <c r="K165" s="3" t="s">
        <v>6655</v>
      </c>
      <c r="L165" s="1" t="s">
        <v>6627</v>
      </c>
      <c r="M165" s="8">
        <v>0</v>
      </c>
      <c r="N165" s="8">
        <v>0</v>
      </c>
      <c r="O165" s="4"/>
      <c r="P165" s="3"/>
      <c r="Q165" s="3" t="s">
        <v>6656</v>
      </c>
      <c r="R165" s="3" t="s">
        <v>6657</v>
      </c>
      <c r="S165" s="25">
        <v>4.246356</v>
      </c>
      <c r="T165" s="25">
        <v>44.814971</v>
      </c>
      <c r="U165" s="2">
        <v>31</v>
      </c>
      <c r="V165" s="3">
        <v>598548</v>
      </c>
      <c r="W165" s="3">
        <v>4963152</v>
      </c>
      <c r="X165" s="25">
        <v>2.121917</v>
      </c>
      <c r="Y165" s="25">
        <v>49.79443</v>
      </c>
      <c r="Z165" s="6"/>
      <c r="AA165" s="7" t="s">
        <v>5138</v>
      </c>
      <c r="AB165" s="8" t="s">
        <v>5691</v>
      </c>
      <c r="AC165" s="9">
        <v>41988</v>
      </c>
      <c r="AD165" s="10"/>
      <c r="AE165" s="31" t="s">
        <v>6290</v>
      </c>
    </row>
    <row r="166" spans="1:31" ht="12.75">
      <c r="A166" s="4" t="s">
        <v>6658</v>
      </c>
      <c r="B166" s="1" t="s">
        <v>5923</v>
      </c>
      <c r="C166" s="1" t="s">
        <v>6659</v>
      </c>
      <c r="D166" s="1" t="s">
        <v>6660</v>
      </c>
      <c r="E166" s="2">
        <v>1416</v>
      </c>
      <c r="F166" s="2">
        <v>50</v>
      </c>
      <c r="G166" s="3" t="s">
        <v>6476</v>
      </c>
      <c r="H166" s="3" t="s">
        <v>6661</v>
      </c>
      <c r="I166" s="3" t="s">
        <v>6662</v>
      </c>
      <c r="J166" s="44" t="str">
        <f>HYPERLINK("https://www.centcols.org/util/geo/visuGen.php?code=FR-07-1416","FR-07-1416")</f>
        <v>FR-07-1416</v>
      </c>
      <c r="K166" s="3" t="s">
        <v>6663</v>
      </c>
      <c r="L166" s="1" t="s">
        <v>6664</v>
      </c>
      <c r="M166" s="8">
        <v>0</v>
      </c>
      <c r="N166" s="8">
        <v>0</v>
      </c>
      <c r="O166" s="4"/>
      <c r="P166" s="3"/>
      <c r="Q166" s="3" t="s">
        <v>6665</v>
      </c>
      <c r="R166" s="3" t="s">
        <v>6666</v>
      </c>
      <c r="S166" s="25">
        <v>4.224203013378262</v>
      </c>
      <c r="T166" s="25">
        <v>44.84090722016619</v>
      </c>
      <c r="U166" s="2">
        <v>31</v>
      </c>
      <c r="V166" s="3">
        <v>596753</v>
      </c>
      <c r="W166" s="3">
        <v>4966006</v>
      </c>
      <c r="X166" s="25">
        <v>2.097303052350527</v>
      </c>
      <c r="Y166" s="25">
        <v>49.823248016974034</v>
      </c>
      <c r="Z166" s="6"/>
      <c r="AA166" s="7" t="s">
        <v>5138</v>
      </c>
      <c r="AB166" s="8">
        <v>2006</v>
      </c>
      <c r="AC166" s="9"/>
      <c r="AD166" s="10">
        <v>1</v>
      </c>
      <c r="AE166" s="31" t="s">
        <v>6290</v>
      </c>
    </row>
    <row r="167" spans="1:31" ht="12.75">
      <c r="A167" s="32" t="s">
        <v>6667</v>
      </c>
      <c r="B167" s="20" t="s">
        <v>5448</v>
      </c>
      <c r="C167" s="20" t="s">
        <v>5468</v>
      </c>
      <c r="D167" s="13" t="s">
        <v>5469</v>
      </c>
      <c r="E167" s="14">
        <v>253</v>
      </c>
      <c r="F167" s="2">
        <v>5</v>
      </c>
      <c r="G167" s="15" t="s">
        <v>5460</v>
      </c>
      <c r="H167" s="15" t="s">
        <v>6668</v>
      </c>
      <c r="I167" s="15" t="s">
        <v>6669</v>
      </c>
      <c r="J167" s="44" t="str">
        <f>HYPERLINK("https://www.centcols.org/util/geo/visuGen.php?code=FR-08-0253","FR-08-0253")</f>
        <v>FR-08-0253</v>
      </c>
      <c r="K167" s="15"/>
      <c r="L167" s="13"/>
      <c r="M167" s="14">
        <v>99</v>
      </c>
      <c r="N167" s="14">
        <v>20</v>
      </c>
      <c r="O167" s="16"/>
      <c r="P167" s="15"/>
      <c r="Q167" s="15" t="s">
        <v>6670</v>
      </c>
      <c r="R167" s="15" t="s">
        <v>3759</v>
      </c>
      <c r="S167" s="59">
        <v>4.232492</v>
      </c>
      <c r="T167" s="59">
        <v>49.918547</v>
      </c>
      <c r="U167" s="17">
        <v>31</v>
      </c>
      <c r="V167" s="3">
        <v>588477</v>
      </c>
      <c r="W167" s="3">
        <v>5530303</v>
      </c>
      <c r="X167" s="59">
        <v>2.106540960886384</v>
      </c>
      <c r="Y167" s="59">
        <v>55.465127342793075</v>
      </c>
      <c r="Z167" s="18"/>
      <c r="AA167" s="19" t="s">
        <v>5138</v>
      </c>
      <c r="AB167" s="19">
        <v>2018</v>
      </c>
      <c r="AC167" s="12">
        <v>43250</v>
      </c>
      <c r="AD167" s="19"/>
      <c r="AE167" s="23" t="s">
        <v>5287</v>
      </c>
    </row>
    <row r="168" spans="1:31" ht="12.75">
      <c r="A168" s="104" t="s">
        <v>3760</v>
      </c>
      <c r="B168" s="20" t="s">
        <v>5262</v>
      </c>
      <c r="C168" s="20" t="s">
        <v>3761</v>
      </c>
      <c r="D168" s="1" t="s">
        <v>3761</v>
      </c>
      <c r="E168" s="2">
        <v>266</v>
      </c>
      <c r="F168" s="2">
        <v>5</v>
      </c>
      <c r="G168" s="3" t="s">
        <v>3762</v>
      </c>
      <c r="H168" s="3" t="s">
        <v>3763</v>
      </c>
      <c r="I168" s="3" t="s">
        <v>3764</v>
      </c>
      <c r="J168" s="44" t="str">
        <f>HYPERLINK("https://www.centcols.org/util/geo/visuGen.php?code=FR-08-0266","FR-08-0266")</f>
        <v>FR-08-0266</v>
      </c>
      <c r="K168" s="3"/>
      <c r="L168" s="1" t="s">
        <v>3765</v>
      </c>
      <c r="M168" s="2">
        <v>99</v>
      </c>
      <c r="N168" s="2">
        <v>20</v>
      </c>
      <c r="O168" s="5"/>
      <c r="P168" s="3"/>
      <c r="Q168" s="3" t="s">
        <v>3766</v>
      </c>
      <c r="R168" s="3" t="s">
        <v>3767</v>
      </c>
      <c r="S168" s="59">
        <v>4.742038</v>
      </c>
      <c r="T168" s="59">
        <v>49.900862</v>
      </c>
      <c r="U168" s="22">
        <v>31</v>
      </c>
      <c r="V168" s="3">
        <v>625100</v>
      </c>
      <c r="W168" s="3">
        <v>5529063</v>
      </c>
      <c r="X168" s="25">
        <v>2.6726774261693396</v>
      </c>
      <c r="Y168" s="25">
        <v>55.44548315879153</v>
      </c>
      <c r="Z168" s="18"/>
      <c r="AA168" s="19" t="s">
        <v>5138</v>
      </c>
      <c r="AB168" s="19">
        <v>2018</v>
      </c>
      <c r="AC168" s="12">
        <v>43250</v>
      </c>
      <c r="AD168" s="19"/>
      <c r="AE168" s="23" t="s">
        <v>3768</v>
      </c>
    </row>
    <row r="169" spans="1:31" ht="12.75">
      <c r="A169" s="104" t="s">
        <v>3769</v>
      </c>
      <c r="B169" s="20" t="s">
        <v>3770</v>
      </c>
      <c r="C169" s="20" t="s">
        <v>3771</v>
      </c>
      <c r="D169" s="1" t="s">
        <v>3772</v>
      </c>
      <c r="E169" s="2">
        <v>273</v>
      </c>
      <c r="F169" s="2">
        <v>5</v>
      </c>
      <c r="G169" s="3" t="s">
        <v>5460</v>
      </c>
      <c r="H169" s="3" t="s">
        <v>3773</v>
      </c>
      <c r="I169" s="3" t="s">
        <v>3774</v>
      </c>
      <c r="J169" s="44" t="str">
        <f>HYPERLINK("https://www.centcols.org/util/geo/visuGen.php?code=FR-08-0273","FR-08-0273")</f>
        <v>FR-08-0273</v>
      </c>
      <c r="K169" s="3"/>
      <c r="L169" s="1" t="s">
        <v>5176</v>
      </c>
      <c r="M169" s="2">
        <v>99</v>
      </c>
      <c r="N169" s="2">
        <v>15</v>
      </c>
      <c r="O169" s="5"/>
      <c r="P169" s="3"/>
      <c r="Q169" s="3" t="s">
        <v>3775</v>
      </c>
      <c r="R169" s="3" t="s">
        <v>3776</v>
      </c>
      <c r="S169" s="59">
        <v>4.283187</v>
      </c>
      <c r="T169" s="59">
        <v>49.964106</v>
      </c>
      <c r="U169" s="22">
        <v>31</v>
      </c>
      <c r="V169" s="3">
        <v>592029</v>
      </c>
      <c r="W169" s="3">
        <v>5535429</v>
      </c>
      <c r="X169" s="25">
        <v>2.1628655124324836</v>
      </c>
      <c r="Y169" s="25">
        <v>55.515749368480634</v>
      </c>
      <c r="Z169" s="18"/>
      <c r="AA169" s="19" t="s">
        <v>5138</v>
      </c>
      <c r="AB169" s="19">
        <v>2018</v>
      </c>
      <c r="AC169" s="12">
        <v>43250</v>
      </c>
      <c r="AD169" s="19"/>
      <c r="AE169" s="23" t="s">
        <v>3777</v>
      </c>
    </row>
    <row r="170" spans="1:31" ht="12.75">
      <c r="A170" s="104" t="s">
        <v>3778</v>
      </c>
      <c r="B170" s="20" t="s">
        <v>5262</v>
      </c>
      <c r="C170" s="20" t="s">
        <v>3779</v>
      </c>
      <c r="D170" s="1" t="s">
        <v>3779</v>
      </c>
      <c r="E170" s="2">
        <v>274</v>
      </c>
      <c r="F170" s="2">
        <v>5</v>
      </c>
      <c r="G170" s="3" t="s">
        <v>3762</v>
      </c>
      <c r="H170" s="3" t="s">
        <v>3780</v>
      </c>
      <c r="I170" s="3" t="s">
        <v>3781</v>
      </c>
      <c r="J170" s="44" t="str">
        <f>HYPERLINK("https://www.centcols.org/util/geo/visuGen.php?code=FR-08-0274","FR-08-0274")</f>
        <v>FR-08-0274</v>
      </c>
      <c r="K170" s="3"/>
      <c r="L170" s="1" t="s">
        <v>3765</v>
      </c>
      <c r="M170" s="2">
        <v>99</v>
      </c>
      <c r="N170" s="2">
        <v>20</v>
      </c>
      <c r="O170" s="5"/>
      <c r="P170" s="3"/>
      <c r="Q170" s="3" t="s">
        <v>3782</v>
      </c>
      <c r="R170" s="3" t="s">
        <v>3783</v>
      </c>
      <c r="S170" s="59">
        <v>4.823012</v>
      </c>
      <c r="T170" s="59">
        <v>49.870609</v>
      </c>
      <c r="U170" s="22">
        <v>31</v>
      </c>
      <c r="V170" s="3">
        <v>630997</v>
      </c>
      <c r="W170" s="3">
        <v>5525838</v>
      </c>
      <c r="X170" s="25">
        <v>2.7626457492800864</v>
      </c>
      <c r="Y170" s="25">
        <v>55.41187034649031</v>
      </c>
      <c r="Z170" s="18"/>
      <c r="AA170" s="19" t="s">
        <v>5138</v>
      </c>
      <c r="AB170" s="19">
        <v>2018</v>
      </c>
      <c r="AC170" s="12">
        <v>43250</v>
      </c>
      <c r="AD170" s="19"/>
      <c r="AE170" s="23" t="s">
        <v>3784</v>
      </c>
    </row>
    <row r="171" spans="1:31" ht="12.75">
      <c r="A171" s="104" t="s">
        <v>3785</v>
      </c>
      <c r="B171" s="20" t="s">
        <v>3786</v>
      </c>
      <c r="C171" s="20" t="s">
        <v>3787</v>
      </c>
      <c r="D171" s="1" t="s">
        <v>3788</v>
      </c>
      <c r="E171" s="2">
        <v>279</v>
      </c>
      <c r="F171" s="2">
        <v>5</v>
      </c>
      <c r="G171" s="3" t="s">
        <v>5460</v>
      </c>
      <c r="H171" s="3" t="s">
        <v>3789</v>
      </c>
      <c r="I171" s="3" t="s">
        <v>3790</v>
      </c>
      <c r="J171" s="44" t="str">
        <f>HYPERLINK("https://www.centcols.org/util/geo/visuGen.php?code=FR-08-0279","FR-08-0279")</f>
        <v>FR-08-0279</v>
      </c>
      <c r="K171" s="3"/>
      <c r="L171" s="1" t="s">
        <v>5176</v>
      </c>
      <c r="M171" s="2">
        <v>99</v>
      </c>
      <c r="N171" s="2">
        <v>15</v>
      </c>
      <c r="O171" s="5"/>
      <c r="P171" s="3" t="s">
        <v>5482</v>
      </c>
      <c r="Q171" s="3" t="s">
        <v>3791</v>
      </c>
      <c r="R171" s="3" t="s">
        <v>3792</v>
      </c>
      <c r="S171" s="59">
        <v>4.305903</v>
      </c>
      <c r="T171" s="59">
        <v>49.968239</v>
      </c>
      <c r="U171" s="22">
        <v>31</v>
      </c>
      <c r="V171" s="3">
        <v>593651</v>
      </c>
      <c r="W171" s="3">
        <v>5535917</v>
      </c>
      <c r="X171" s="25">
        <v>2.1881037184243914</v>
      </c>
      <c r="Y171" s="25">
        <v>55.520341023849525</v>
      </c>
      <c r="Z171" s="18"/>
      <c r="AA171" s="19" t="s">
        <v>5138</v>
      </c>
      <c r="AB171" s="19">
        <v>2018</v>
      </c>
      <c r="AC171" s="12">
        <v>43250</v>
      </c>
      <c r="AD171" s="19"/>
      <c r="AE171" s="23" t="s">
        <v>3793</v>
      </c>
    </row>
    <row r="172" spans="1:31" ht="12.75">
      <c r="A172" s="4" t="s">
        <v>3794</v>
      </c>
      <c r="B172" s="1" t="s">
        <v>5815</v>
      </c>
      <c r="C172" s="1" t="s">
        <v>3795</v>
      </c>
      <c r="D172" s="1" t="s">
        <v>3796</v>
      </c>
      <c r="E172" s="2">
        <v>290</v>
      </c>
      <c r="F172" s="2">
        <v>5</v>
      </c>
      <c r="G172" s="3" t="s">
        <v>3797</v>
      </c>
      <c r="H172" s="3" t="s">
        <v>3798</v>
      </c>
      <c r="I172" s="3" t="s">
        <v>3799</v>
      </c>
      <c r="J172" s="44" t="str">
        <f>HYPERLINK("https://www.centcols.org/util/geo/visuGen.php?code=FR-08-0290","FR-08-0290")</f>
        <v>FR-08-0290</v>
      </c>
      <c r="K172" s="3"/>
      <c r="L172" s="1" t="s">
        <v>5257</v>
      </c>
      <c r="M172" s="8">
        <v>1</v>
      </c>
      <c r="N172" s="8">
        <v>10</v>
      </c>
      <c r="O172" s="4"/>
      <c r="P172" s="3"/>
      <c r="Q172" s="3" t="s">
        <v>3800</v>
      </c>
      <c r="R172" s="3" t="s">
        <v>3801</v>
      </c>
      <c r="S172" s="25">
        <v>4.89608787105028</v>
      </c>
      <c r="T172" s="25">
        <v>49.673668458288674</v>
      </c>
      <c r="U172" s="2">
        <v>31</v>
      </c>
      <c r="V172" s="3">
        <v>636801</v>
      </c>
      <c r="W172" s="3">
        <v>5504075</v>
      </c>
      <c r="X172" s="25">
        <v>2.8438430704432265</v>
      </c>
      <c r="Y172" s="25">
        <v>55.19304771173736</v>
      </c>
      <c r="Z172" s="6"/>
      <c r="AA172" s="7" t="s">
        <v>5138</v>
      </c>
      <c r="AB172" s="8">
        <v>2008</v>
      </c>
      <c r="AC172" s="9"/>
      <c r="AD172" s="10">
        <v>1</v>
      </c>
      <c r="AE172" s="31" t="s">
        <v>3802</v>
      </c>
    </row>
    <row r="173" spans="1:31" ht="12.75">
      <c r="A173" s="104" t="s">
        <v>3803</v>
      </c>
      <c r="B173" s="1" t="s">
        <v>3804</v>
      </c>
      <c r="C173" s="1" t="s">
        <v>3805</v>
      </c>
      <c r="D173" s="1" t="s">
        <v>3806</v>
      </c>
      <c r="E173" s="2">
        <v>326</v>
      </c>
      <c r="F173" s="2">
        <v>5</v>
      </c>
      <c r="G173" s="3" t="s">
        <v>3807</v>
      </c>
      <c r="H173" s="3" t="s">
        <v>3808</v>
      </c>
      <c r="I173" s="3" t="s">
        <v>3809</v>
      </c>
      <c r="J173" s="44" t="str">
        <f>HYPERLINK("https://www.centcols.org/util/geo/visuGen.php?code=FR-08-0326","FR-08-0326")</f>
        <v>FR-08-0326</v>
      </c>
      <c r="K173" s="3"/>
      <c r="L173" s="1" t="s">
        <v>5138</v>
      </c>
      <c r="M173" s="2">
        <v>1</v>
      </c>
      <c r="N173" s="2">
        <v>10</v>
      </c>
      <c r="O173" s="5"/>
      <c r="P173" s="3"/>
      <c r="Q173" s="3" t="s">
        <v>3810</v>
      </c>
      <c r="R173" s="3" t="s">
        <v>3811</v>
      </c>
      <c r="S173" s="59">
        <v>4.36681</v>
      </c>
      <c r="T173" s="59">
        <v>49.906175</v>
      </c>
      <c r="U173" s="22">
        <v>31</v>
      </c>
      <c r="V173" s="3">
        <v>598144</v>
      </c>
      <c r="W173" s="3">
        <v>5529094</v>
      </c>
      <c r="X173" s="25">
        <v>2.255776254080392</v>
      </c>
      <c r="Y173" s="25">
        <v>55.45138229981079</v>
      </c>
      <c r="Z173" s="18"/>
      <c r="AA173" s="19" t="s">
        <v>5138</v>
      </c>
      <c r="AB173" s="19">
        <v>2018</v>
      </c>
      <c r="AC173" s="12">
        <v>43250</v>
      </c>
      <c r="AD173" s="19"/>
      <c r="AE173" s="23" t="s">
        <v>5277</v>
      </c>
    </row>
    <row r="174" spans="1:31" ht="12.75">
      <c r="A174" s="4" t="s">
        <v>3812</v>
      </c>
      <c r="B174" s="1" t="s">
        <v>5923</v>
      </c>
      <c r="C174" s="1" t="s">
        <v>3813</v>
      </c>
      <c r="D174" s="1" t="s">
        <v>3814</v>
      </c>
      <c r="E174" s="2">
        <v>433</v>
      </c>
      <c r="F174" s="2">
        <v>5</v>
      </c>
      <c r="G174" s="3" t="s">
        <v>3815</v>
      </c>
      <c r="H174" s="3" t="s">
        <v>3816</v>
      </c>
      <c r="I174" s="3" t="s">
        <v>3817</v>
      </c>
      <c r="J174" s="44" t="str">
        <f>HYPERLINK("https://www.centcols.org/util/geo/visuGen.php?code=FR-08-0433","FR-08-0433")</f>
        <v>FR-08-0433</v>
      </c>
      <c r="K174" s="3" t="s">
        <v>3818</v>
      </c>
      <c r="L174" s="1" t="s">
        <v>3819</v>
      </c>
      <c r="M174" s="8">
        <v>0</v>
      </c>
      <c r="N174" s="8">
        <v>0</v>
      </c>
      <c r="O174" s="4"/>
      <c r="P174" s="3"/>
      <c r="Q174" s="3" t="s">
        <v>3820</v>
      </c>
      <c r="R174" s="3" t="s">
        <v>3821</v>
      </c>
      <c r="S174" s="25">
        <v>5.063880355706153</v>
      </c>
      <c r="T174" s="25">
        <v>49.75559293705313</v>
      </c>
      <c r="U174" s="2">
        <v>31</v>
      </c>
      <c r="V174" s="3">
        <v>648655</v>
      </c>
      <c r="W174" s="3">
        <v>5513501</v>
      </c>
      <c r="X174" s="25">
        <v>3.030270295241064</v>
      </c>
      <c r="Y174" s="25">
        <v>55.28407652550146</v>
      </c>
      <c r="Z174" s="6"/>
      <c r="AA174" s="7" t="s">
        <v>5138</v>
      </c>
      <c r="AB174" s="8">
        <v>2008</v>
      </c>
      <c r="AC174" s="9"/>
      <c r="AD174" s="10">
        <v>1</v>
      </c>
      <c r="AE174" s="31" t="s">
        <v>3822</v>
      </c>
    </row>
    <row r="175" spans="1:31" ht="22.5">
      <c r="A175" s="18" t="s">
        <v>3823</v>
      </c>
      <c r="B175" s="20" t="s">
        <v>3824</v>
      </c>
      <c r="C175" s="20" t="s">
        <v>3825</v>
      </c>
      <c r="D175" s="20" t="s">
        <v>3825</v>
      </c>
      <c r="E175" s="19">
        <v>380</v>
      </c>
      <c r="F175" s="14">
        <v>71</v>
      </c>
      <c r="G175" s="19" t="s">
        <v>3826</v>
      </c>
      <c r="H175" s="19" t="s">
        <v>3827</v>
      </c>
      <c r="I175" s="19" t="s">
        <v>3828</v>
      </c>
      <c r="J175" s="44" t="str">
        <f>HYPERLINK("https://www.centcols.org/util/geo/visuGen.php?code=FR-09-0360","FR-09-0360")</f>
        <v>FR-09-0360</v>
      </c>
      <c r="K175" s="19" t="s">
        <v>3829</v>
      </c>
      <c r="L175" s="20" t="s">
        <v>5157</v>
      </c>
      <c r="M175" s="19">
        <v>0</v>
      </c>
      <c r="N175" s="19">
        <v>0</v>
      </c>
      <c r="O175" s="18"/>
      <c r="P175" s="19"/>
      <c r="Q175" s="19" t="s">
        <v>3830</v>
      </c>
      <c r="R175" s="19" t="s">
        <v>3831</v>
      </c>
      <c r="S175" s="59">
        <v>1.45309</v>
      </c>
      <c r="T175" s="59">
        <v>43.168898</v>
      </c>
      <c r="U175" s="19">
        <v>31</v>
      </c>
      <c r="V175" s="3">
        <v>374259</v>
      </c>
      <c r="W175" s="3">
        <v>4780732</v>
      </c>
      <c r="X175" s="59">
        <v>-0.981622</v>
      </c>
      <c r="Y175" s="59">
        <v>47.965455</v>
      </c>
      <c r="Z175" s="23"/>
      <c r="AA175" s="11" t="s">
        <v>5176</v>
      </c>
      <c r="AB175" s="11">
        <v>2018</v>
      </c>
      <c r="AC175" s="11"/>
      <c r="AD175" s="11"/>
      <c r="AE175" s="23" t="s">
        <v>3832</v>
      </c>
    </row>
    <row r="176" spans="1:31" ht="12.75">
      <c r="A176" s="4" t="s">
        <v>3833</v>
      </c>
      <c r="B176" s="1" t="s">
        <v>3834</v>
      </c>
      <c r="C176" s="1" t="s">
        <v>3835</v>
      </c>
      <c r="D176" s="1" t="s">
        <v>3836</v>
      </c>
      <c r="E176" s="2">
        <v>425</v>
      </c>
      <c r="F176" s="2">
        <v>71</v>
      </c>
      <c r="G176" s="3" t="s">
        <v>3837</v>
      </c>
      <c r="H176" s="3" t="s">
        <v>3838</v>
      </c>
      <c r="I176" s="3" t="s">
        <v>3839</v>
      </c>
      <c r="J176" s="44" t="str">
        <f>HYPERLINK("https://www.centcols.org/util/geo/visuGen.php?code=FR-09-0425","FR-09-0425")</f>
        <v>FR-09-0425</v>
      </c>
      <c r="K176" s="3" t="s">
        <v>3840</v>
      </c>
      <c r="L176" s="1" t="s">
        <v>5157</v>
      </c>
      <c r="M176" s="8">
        <v>0</v>
      </c>
      <c r="N176" s="8">
        <v>0</v>
      </c>
      <c r="O176" s="4"/>
      <c r="P176" s="3"/>
      <c r="Q176" s="3" t="s">
        <v>3841</v>
      </c>
      <c r="R176" s="3" t="s">
        <v>3842</v>
      </c>
      <c r="S176" s="25">
        <v>1.1701406779520036</v>
      </c>
      <c r="T176" s="25">
        <v>43.11630493678626</v>
      </c>
      <c r="U176" s="2">
        <v>31</v>
      </c>
      <c r="V176" s="3">
        <v>351131</v>
      </c>
      <c r="W176" s="3">
        <v>4775355</v>
      </c>
      <c r="X176" s="25">
        <v>-1.2959929492701263</v>
      </c>
      <c r="Y176" s="25">
        <v>47.907</v>
      </c>
      <c r="Z176" s="6"/>
      <c r="AA176" s="7" t="s">
        <v>5176</v>
      </c>
      <c r="AB176" s="8" t="s">
        <v>5802</v>
      </c>
      <c r="AC176" s="9"/>
      <c r="AD176" s="10">
        <v>1</v>
      </c>
      <c r="AE176" s="31" t="s">
        <v>3843</v>
      </c>
    </row>
    <row r="177" spans="1:31" ht="12.75">
      <c r="A177" s="4" t="s">
        <v>3844</v>
      </c>
      <c r="B177" s="1" t="s">
        <v>3845</v>
      </c>
      <c r="C177" s="1" t="s">
        <v>3846</v>
      </c>
      <c r="D177" s="1" t="s">
        <v>3847</v>
      </c>
      <c r="E177" s="2">
        <v>455</v>
      </c>
      <c r="F177" s="2">
        <v>71</v>
      </c>
      <c r="G177" s="3" t="s">
        <v>3848</v>
      </c>
      <c r="H177" s="3" t="s">
        <v>3849</v>
      </c>
      <c r="I177" s="3" t="s">
        <v>3850</v>
      </c>
      <c r="J177" s="44" t="str">
        <f>HYPERLINK("https://www.centcols.org/util/geo/visuGen.php?code=FR-09-0455","FR-09-0455")</f>
        <v>FR-09-0455</v>
      </c>
      <c r="K177" s="3"/>
      <c r="L177" s="1" t="s">
        <v>5726</v>
      </c>
      <c r="M177" s="8">
        <v>99</v>
      </c>
      <c r="N177" s="8">
        <v>15</v>
      </c>
      <c r="O177" s="4"/>
      <c r="P177" s="3"/>
      <c r="Q177" s="3" t="s">
        <v>3851</v>
      </c>
      <c r="R177" s="3" t="s">
        <v>3852</v>
      </c>
      <c r="S177" s="25">
        <v>1.7890042587408597</v>
      </c>
      <c r="T177" s="25">
        <v>43.01431623271208</v>
      </c>
      <c r="U177" s="2">
        <v>31</v>
      </c>
      <c r="V177" s="3">
        <v>401316</v>
      </c>
      <c r="W177" s="3">
        <v>4763116</v>
      </c>
      <c r="X177" s="25">
        <v>-0.6084032043204286</v>
      </c>
      <c r="Y177" s="25">
        <v>47.79368903506803</v>
      </c>
      <c r="Z177" s="6"/>
      <c r="AA177" s="7" t="s">
        <v>5138</v>
      </c>
      <c r="AB177" s="8" t="s">
        <v>5571</v>
      </c>
      <c r="AC177" s="9"/>
      <c r="AD177" s="10">
        <v>1</v>
      </c>
      <c r="AE177" s="31" t="s">
        <v>3853</v>
      </c>
    </row>
    <row r="178" spans="1:31" ht="12.75">
      <c r="A178" s="4" t="s">
        <v>3854</v>
      </c>
      <c r="B178" s="1" t="s">
        <v>5574</v>
      </c>
      <c r="C178" s="1" t="s">
        <v>3855</v>
      </c>
      <c r="D178" s="1" t="s">
        <v>3856</v>
      </c>
      <c r="E178" s="2">
        <v>546</v>
      </c>
      <c r="F178" s="2">
        <v>71</v>
      </c>
      <c r="G178" s="3" t="s">
        <v>3826</v>
      </c>
      <c r="H178" s="3" t="s">
        <v>3857</v>
      </c>
      <c r="I178" s="3" t="s">
        <v>3858</v>
      </c>
      <c r="J178" s="44" t="str">
        <f>HYPERLINK("https://www.centcols.org/util/geo/visuGen.php?code=FR-09-0546","FR-09-0546")</f>
        <v>FR-09-0546</v>
      </c>
      <c r="K178" s="3" t="s">
        <v>3859</v>
      </c>
      <c r="L178" s="1" t="s">
        <v>3860</v>
      </c>
      <c r="M178" s="8">
        <v>0</v>
      </c>
      <c r="N178" s="8">
        <v>0</v>
      </c>
      <c r="O178" s="4"/>
      <c r="P178" s="3"/>
      <c r="Q178" s="3" t="s">
        <v>3861</v>
      </c>
      <c r="R178" s="3" t="s">
        <v>3862</v>
      </c>
      <c r="S178" s="25">
        <v>1.498795</v>
      </c>
      <c r="T178" s="25">
        <v>43.022466</v>
      </c>
      <c r="U178" s="2">
        <v>31</v>
      </c>
      <c r="V178" s="3">
        <v>377683</v>
      </c>
      <c r="W178" s="3">
        <v>4764403</v>
      </c>
      <c r="X178" s="25">
        <v>-0.930845</v>
      </c>
      <c r="Y178" s="25">
        <v>47.80275</v>
      </c>
      <c r="Z178" s="6"/>
      <c r="AA178" s="7" t="s">
        <v>5138</v>
      </c>
      <c r="AB178" s="8">
        <v>2016</v>
      </c>
      <c r="AC178" s="9">
        <v>42593</v>
      </c>
      <c r="AD178" s="10"/>
      <c r="AE178" s="31" t="s">
        <v>3863</v>
      </c>
    </row>
    <row r="179" spans="1:31" ht="12.75">
      <c r="A179" s="4" t="s">
        <v>3864</v>
      </c>
      <c r="B179" s="1" t="s">
        <v>3865</v>
      </c>
      <c r="C179" s="1" t="s">
        <v>3866</v>
      </c>
      <c r="D179" s="1" t="s">
        <v>3867</v>
      </c>
      <c r="E179" s="2">
        <v>565</v>
      </c>
      <c r="F179" s="2">
        <v>71</v>
      </c>
      <c r="G179" s="3" t="s">
        <v>3868</v>
      </c>
      <c r="H179" s="3" t="s">
        <v>3869</v>
      </c>
      <c r="I179" s="3" t="s">
        <v>3870</v>
      </c>
      <c r="J179" s="44" t="str">
        <f>HYPERLINK("https://www.centcols.org/util/geo/visuGen.php?code=FR-09-0565a","FR-09-0565a")</f>
        <v>FR-09-0565a</v>
      </c>
      <c r="K179" s="3"/>
      <c r="L179" s="1" t="s">
        <v>5246</v>
      </c>
      <c r="M179" s="8">
        <v>2</v>
      </c>
      <c r="N179" s="8">
        <v>10</v>
      </c>
      <c r="O179" s="4"/>
      <c r="P179" s="3"/>
      <c r="Q179" s="3" t="s">
        <v>3871</v>
      </c>
      <c r="R179" s="3" t="s">
        <v>3872</v>
      </c>
      <c r="S179" s="25">
        <v>1.093722584648044</v>
      </c>
      <c r="T179" s="25">
        <v>42.97050778994818</v>
      </c>
      <c r="U179" s="2">
        <v>31</v>
      </c>
      <c r="V179" s="3">
        <v>344546</v>
      </c>
      <c r="W179" s="3">
        <v>4759303</v>
      </c>
      <c r="X179" s="25">
        <v>-1.3809007123231791</v>
      </c>
      <c r="Y179" s="25">
        <v>47.745</v>
      </c>
      <c r="Z179" s="6"/>
      <c r="AA179" s="7" t="s">
        <v>5176</v>
      </c>
      <c r="AB179" s="8" t="s">
        <v>5802</v>
      </c>
      <c r="AC179" s="9"/>
      <c r="AD179" s="10">
        <v>1</v>
      </c>
      <c r="AE179" s="31" t="s">
        <v>3873</v>
      </c>
    </row>
    <row r="180" spans="1:31" ht="12.75">
      <c r="A180" s="4" t="s">
        <v>3874</v>
      </c>
      <c r="B180" s="1" t="s">
        <v>3875</v>
      </c>
      <c r="C180" s="1" t="s">
        <v>3876</v>
      </c>
      <c r="D180" s="1" t="s">
        <v>3877</v>
      </c>
      <c r="E180" s="2">
        <v>585</v>
      </c>
      <c r="F180" s="2">
        <v>71</v>
      </c>
      <c r="G180" s="3" t="s">
        <v>3878</v>
      </c>
      <c r="H180" s="3" t="s">
        <v>3879</v>
      </c>
      <c r="I180" s="3" t="s">
        <v>3880</v>
      </c>
      <c r="J180" s="44" t="str">
        <f>HYPERLINK("https://www.centcols.org/util/geo/visuGen.php?code=FR-09-0585b","FR-09-0585b")</f>
        <v>FR-09-0585b</v>
      </c>
      <c r="K180" s="3" t="s">
        <v>3881</v>
      </c>
      <c r="L180" s="1" t="s">
        <v>3882</v>
      </c>
      <c r="M180" s="8">
        <v>0</v>
      </c>
      <c r="N180" s="8">
        <v>0</v>
      </c>
      <c r="O180" s="4"/>
      <c r="P180" s="3"/>
      <c r="Q180" s="3" t="s">
        <v>3883</v>
      </c>
      <c r="R180" s="3" t="s">
        <v>3884</v>
      </c>
      <c r="S180" s="25">
        <v>1.294987</v>
      </c>
      <c r="T180" s="25">
        <v>43.061658</v>
      </c>
      <c r="U180" s="2">
        <v>31</v>
      </c>
      <c r="V180" s="3">
        <v>361165</v>
      </c>
      <c r="W180" s="3">
        <v>4769073</v>
      </c>
      <c r="X180" s="25">
        <v>-1.157286</v>
      </c>
      <c r="Y180" s="25">
        <v>47.8463</v>
      </c>
      <c r="Z180" s="6"/>
      <c r="AA180" s="7" t="s">
        <v>5176</v>
      </c>
      <c r="AB180" s="8" t="s">
        <v>5711</v>
      </c>
      <c r="AC180" s="9"/>
      <c r="AD180" s="10">
        <v>1</v>
      </c>
      <c r="AE180" s="31" t="s">
        <v>3843</v>
      </c>
    </row>
    <row r="181" spans="1:31" ht="12.75">
      <c r="A181" s="18" t="s">
        <v>3885</v>
      </c>
      <c r="B181" s="20" t="s">
        <v>3886</v>
      </c>
      <c r="C181" s="20" t="s">
        <v>3887</v>
      </c>
      <c r="D181" s="20" t="s">
        <v>3888</v>
      </c>
      <c r="E181" s="19">
        <v>695</v>
      </c>
      <c r="F181" s="14">
        <v>71</v>
      </c>
      <c r="G181" s="19" t="s">
        <v>3848</v>
      </c>
      <c r="H181" s="19" t="s">
        <v>3889</v>
      </c>
      <c r="I181" s="19" t="s">
        <v>3890</v>
      </c>
      <c r="J181" s="44" t="str">
        <f>HYPERLINK("https://www.centcols.org/util/geo/visuGen.php?code=FR-09-0695","FR-09-0695")</f>
        <v>FR-09-0695</v>
      </c>
      <c r="K181" s="19"/>
      <c r="L181" s="20"/>
      <c r="M181" s="11">
        <v>99</v>
      </c>
      <c r="N181" s="19">
        <v>20</v>
      </c>
      <c r="O181" s="18"/>
      <c r="P181" s="19"/>
      <c r="Q181" s="19" t="s">
        <v>3891</v>
      </c>
      <c r="R181" s="19" t="s">
        <v>3892</v>
      </c>
      <c r="S181" s="59">
        <v>1.693622</v>
      </c>
      <c r="T181" s="59">
        <v>42.977178</v>
      </c>
      <c r="U181" s="19">
        <v>31</v>
      </c>
      <c r="V181" s="3">
        <v>393479</v>
      </c>
      <c r="W181" s="3">
        <v>4759108</v>
      </c>
      <c r="X181" s="59">
        <v>-0.714381</v>
      </c>
      <c r="Y181" s="59">
        <v>47.752425</v>
      </c>
      <c r="Z181" s="61"/>
      <c r="AA181" s="54" t="s">
        <v>5138</v>
      </c>
      <c r="AB181" s="54">
        <v>2017</v>
      </c>
      <c r="AC181" s="54"/>
      <c r="AD181" s="57"/>
      <c r="AE181" s="61" t="s">
        <v>3893</v>
      </c>
    </row>
    <row r="182" spans="1:31" ht="12.75">
      <c r="A182" s="18" t="s">
        <v>3894</v>
      </c>
      <c r="B182" s="20" t="s">
        <v>5262</v>
      </c>
      <c r="C182" s="20" t="s">
        <v>3895</v>
      </c>
      <c r="D182" s="20" t="s">
        <v>3895</v>
      </c>
      <c r="E182" s="19">
        <v>714</v>
      </c>
      <c r="F182" s="14">
        <v>71</v>
      </c>
      <c r="G182" s="19" t="s">
        <v>3868</v>
      </c>
      <c r="H182" s="19" t="s">
        <v>3896</v>
      </c>
      <c r="I182" s="19" t="s">
        <v>3897</v>
      </c>
      <c r="J182" s="44" t="str">
        <f>HYPERLINK("https://www.centcols.org/util/geo/visuGen.php?code=FR-09-0714","FR-09-0714")</f>
        <v>FR-09-0714</v>
      </c>
      <c r="K182" s="19"/>
      <c r="L182" s="20" t="s">
        <v>5176</v>
      </c>
      <c r="M182" s="19">
        <v>99</v>
      </c>
      <c r="N182" s="19">
        <v>15</v>
      </c>
      <c r="O182" s="18"/>
      <c r="P182" s="19"/>
      <c r="Q182" s="24" t="s">
        <v>3898</v>
      </c>
      <c r="R182" s="24" t="s">
        <v>6950</v>
      </c>
      <c r="S182" s="25">
        <v>1.19921</v>
      </c>
      <c r="T182" s="25">
        <v>42.90848</v>
      </c>
      <c r="U182" s="24">
        <v>31</v>
      </c>
      <c r="V182" s="3" t="s">
        <v>7020</v>
      </c>
      <c r="W182" s="3" t="s">
        <v>7021</v>
      </c>
      <c r="X182" s="25">
        <v>-1.2637044882806288</v>
      </c>
      <c r="Y182" s="25">
        <v>47.67610060482322</v>
      </c>
      <c r="Z182" s="18"/>
      <c r="AA182" s="19" t="s">
        <v>5138</v>
      </c>
      <c r="AB182" s="11">
        <v>2018</v>
      </c>
      <c r="AC182" s="12">
        <v>43250</v>
      </c>
      <c r="AD182" s="54"/>
      <c r="AE182" s="23" t="s">
        <v>3899</v>
      </c>
    </row>
    <row r="183" spans="1:31" ht="12.75">
      <c r="A183" s="4" t="s">
        <v>3900</v>
      </c>
      <c r="B183" s="1" t="s">
        <v>5704</v>
      </c>
      <c r="C183" s="1" t="s">
        <v>3901</v>
      </c>
      <c r="D183" s="1" t="s">
        <v>3902</v>
      </c>
      <c r="E183" s="2">
        <v>715</v>
      </c>
      <c r="F183" s="2">
        <v>71</v>
      </c>
      <c r="G183" s="3" t="s">
        <v>3903</v>
      </c>
      <c r="H183" s="3" t="s">
        <v>3904</v>
      </c>
      <c r="I183" s="3" t="s">
        <v>3905</v>
      </c>
      <c r="J183" s="44" t="str">
        <f>HYPERLINK("https://www.centcols.org/util/geo/visuGen.php?code=FR-09-0715b","FR-09-0715b")</f>
        <v>FR-09-0715b</v>
      </c>
      <c r="K183" s="3"/>
      <c r="L183" s="1" t="s">
        <v>5176</v>
      </c>
      <c r="M183" s="8">
        <v>99</v>
      </c>
      <c r="N183" s="8">
        <v>15</v>
      </c>
      <c r="O183" s="4"/>
      <c r="P183" s="3"/>
      <c r="Q183" s="3" t="s">
        <v>3906</v>
      </c>
      <c r="R183" s="3" t="s">
        <v>3907</v>
      </c>
      <c r="S183" s="25">
        <v>1.5956708807807745</v>
      </c>
      <c r="T183" s="25">
        <v>42.82471417259051</v>
      </c>
      <c r="U183" s="2">
        <v>31</v>
      </c>
      <c r="V183" s="3">
        <v>385210</v>
      </c>
      <c r="W183" s="3">
        <v>4742306</v>
      </c>
      <c r="X183" s="25">
        <v>-0.8232023783028843</v>
      </c>
      <c r="Y183" s="25">
        <v>47.583</v>
      </c>
      <c r="Z183" s="6"/>
      <c r="AA183" s="7" t="s">
        <v>5176</v>
      </c>
      <c r="AB183" s="8" t="s">
        <v>5802</v>
      </c>
      <c r="AC183" s="9"/>
      <c r="AD183" s="10">
        <v>1</v>
      </c>
      <c r="AE183" s="31" t="s">
        <v>5921</v>
      </c>
    </row>
    <row r="184" spans="1:31" ht="12.75">
      <c r="A184" s="4" t="s">
        <v>3908</v>
      </c>
      <c r="B184" s="1" t="s">
        <v>3909</v>
      </c>
      <c r="C184" s="1" t="s">
        <v>3910</v>
      </c>
      <c r="D184" s="1" t="s">
        <v>3911</v>
      </c>
      <c r="E184" s="2">
        <v>749</v>
      </c>
      <c r="F184" s="2">
        <v>71</v>
      </c>
      <c r="G184" s="3" t="s">
        <v>3868</v>
      </c>
      <c r="H184" s="3" t="s">
        <v>3912</v>
      </c>
      <c r="I184" s="3" t="s">
        <v>3913</v>
      </c>
      <c r="J184" s="44" t="str">
        <f>HYPERLINK("https://www.centcols.org/util/geo/visuGen.php?code=FR-09-0749","FR-09-0749")</f>
        <v>FR-09-0749</v>
      </c>
      <c r="K184" s="3"/>
      <c r="L184" s="1" t="s">
        <v>5138</v>
      </c>
      <c r="M184" s="8">
        <v>1</v>
      </c>
      <c r="N184" s="8">
        <v>10</v>
      </c>
      <c r="O184" s="4"/>
      <c r="P184" s="3"/>
      <c r="Q184" s="3" t="s">
        <v>3914</v>
      </c>
      <c r="R184" s="3" t="s">
        <v>3915</v>
      </c>
      <c r="S184" s="25">
        <v>1.178998</v>
      </c>
      <c r="T184" s="25">
        <v>42.852484</v>
      </c>
      <c r="U184" s="2">
        <v>31</v>
      </c>
      <c r="V184" s="3">
        <v>351217</v>
      </c>
      <c r="W184" s="3">
        <v>4746042</v>
      </c>
      <c r="X184" s="25">
        <v>-1.286162583384503</v>
      </c>
      <c r="Y184" s="25">
        <v>47.61388193597367</v>
      </c>
      <c r="Z184" s="6"/>
      <c r="AA184" s="7" t="s">
        <v>5176</v>
      </c>
      <c r="AB184" s="8">
        <v>2017</v>
      </c>
      <c r="AC184" s="9"/>
      <c r="AD184" s="10"/>
      <c r="AE184" s="31" t="s">
        <v>3916</v>
      </c>
    </row>
    <row r="185" spans="1:31" ht="12.75">
      <c r="A185" s="4" t="s">
        <v>3917</v>
      </c>
      <c r="B185" s="1" t="s">
        <v>3918</v>
      </c>
      <c r="C185" s="1" t="s">
        <v>3919</v>
      </c>
      <c r="D185" s="1" t="s">
        <v>3920</v>
      </c>
      <c r="E185" s="2">
        <v>795</v>
      </c>
      <c r="F185" s="2">
        <v>71</v>
      </c>
      <c r="G185" s="3" t="s">
        <v>3868</v>
      </c>
      <c r="H185" s="3" t="s">
        <v>3921</v>
      </c>
      <c r="I185" s="3" t="s">
        <v>3922</v>
      </c>
      <c r="J185" s="44" t="str">
        <f>HYPERLINK("https://www.centcols.org/util/geo/visuGen.php?code=FR-09-0795","FR-09-0795")</f>
        <v>FR-09-0795</v>
      </c>
      <c r="K185" s="3"/>
      <c r="L185" s="1" t="s">
        <v>5138</v>
      </c>
      <c r="M185" s="8">
        <v>35</v>
      </c>
      <c r="N185" s="8">
        <v>10</v>
      </c>
      <c r="O185" s="4"/>
      <c r="P185" s="3"/>
      <c r="Q185" s="3" t="s">
        <v>3923</v>
      </c>
      <c r="R185" s="3" t="s">
        <v>3924</v>
      </c>
      <c r="S185" s="25">
        <v>1.2396654770560502</v>
      </c>
      <c r="T185" s="25">
        <v>42.85407943101522</v>
      </c>
      <c r="U185" s="2">
        <v>31</v>
      </c>
      <c r="V185" s="3">
        <v>356177</v>
      </c>
      <c r="W185" s="3">
        <v>4746114</v>
      </c>
      <c r="X185" s="25">
        <v>-1.2187575047769312</v>
      </c>
      <c r="Y185" s="25">
        <v>47.61565375647559</v>
      </c>
      <c r="Z185" s="6"/>
      <c r="AA185" s="7" t="s">
        <v>5138</v>
      </c>
      <c r="AB185" s="8" t="s">
        <v>5571</v>
      </c>
      <c r="AC185" s="9"/>
      <c r="AD185" s="10">
        <v>1</v>
      </c>
      <c r="AE185" s="31" t="s">
        <v>6683</v>
      </c>
    </row>
    <row r="186" spans="1:31" ht="12.75">
      <c r="A186" s="13" t="s">
        <v>6684</v>
      </c>
      <c r="B186" s="1" t="s">
        <v>5656</v>
      </c>
      <c r="C186" s="1" t="s">
        <v>6685</v>
      </c>
      <c r="D186" s="1" t="s">
        <v>6686</v>
      </c>
      <c r="E186" s="2">
        <v>918</v>
      </c>
      <c r="F186" s="2">
        <v>71</v>
      </c>
      <c r="G186" s="3" t="s">
        <v>6687</v>
      </c>
      <c r="H186" s="3" t="s">
        <v>6688</v>
      </c>
      <c r="I186" s="3" t="s">
        <v>6689</v>
      </c>
      <c r="J186" s="44" t="str">
        <f>HYPERLINK("https://www.centcols.org/util/geo/visuGen.php?code=FR-09-0895c","FR-09-0895c")</f>
        <v>FR-09-0895c</v>
      </c>
      <c r="K186" s="3"/>
      <c r="L186" s="1" t="s">
        <v>6690</v>
      </c>
      <c r="M186" s="2">
        <v>3</v>
      </c>
      <c r="N186" s="2">
        <v>15</v>
      </c>
      <c r="O186" s="5"/>
      <c r="P186" s="3"/>
      <c r="Q186" s="3" t="s">
        <v>6691</v>
      </c>
      <c r="R186" s="3" t="s">
        <v>6692</v>
      </c>
      <c r="S186" s="25">
        <v>1.9756419992777132</v>
      </c>
      <c r="T186" s="25">
        <v>42.90209529695672</v>
      </c>
      <c r="U186" s="22">
        <v>31</v>
      </c>
      <c r="V186" s="3">
        <v>416373</v>
      </c>
      <c r="W186" s="3">
        <v>4750452</v>
      </c>
      <c r="X186" s="25">
        <v>-0.40103869631275363</v>
      </c>
      <c r="Y186" s="25">
        <v>47.668993851331884</v>
      </c>
      <c r="Z186" s="61"/>
      <c r="AA186" s="54" t="s">
        <v>5176</v>
      </c>
      <c r="AB186" s="54">
        <v>2018</v>
      </c>
      <c r="AC186" s="57">
        <v>43199</v>
      </c>
      <c r="AD186" s="54"/>
      <c r="AE186" s="61" t="s">
        <v>6693</v>
      </c>
    </row>
    <row r="187" spans="1:31" ht="12.75">
      <c r="A187" s="4" t="s">
        <v>6694</v>
      </c>
      <c r="B187" s="1" t="s">
        <v>5262</v>
      </c>
      <c r="C187" s="1" t="s">
        <v>5797</v>
      </c>
      <c r="D187" s="1" t="s">
        <v>5797</v>
      </c>
      <c r="E187" s="2">
        <v>1065</v>
      </c>
      <c r="F187" s="2">
        <v>71</v>
      </c>
      <c r="G187" s="3" t="s">
        <v>6695</v>
      </c>
      <c r="H187" s="3" t="s">
        <v>6696</v>
      </c>
      <c r="I187" s="3" t="s">
        <v>6697</v>
      </c>
      <c r="J187" s="44" t="str">
        <f>HYPERLINK("https://www.centcols.org/util/geo/visuGen.php?code=FR-09-1065","FR-09-1065")</f>
        <v>FR-09-1065</v>
      </c>
      <c r="K187" s="3" t="s">
        <v>6698</v>
      </c>
      <c r="L187" s="1" t="s">
        <v>5157</v>
      </c>
      <c r="M187" s="8">
        <v>0</v>
      </c>
      <c r="N187" s="8">
        <v>0</v>
      </c>
      <c r="O187" s="4"/>
      <c r="P187" s="3"/>
      <c r="Q187" s="3" t="s">
        <v>6699</v>
      </c>
      <c r="R187" s="3" t="s">
        <v>6700</v>
      </c>
      <c r="S187" s="25">
        <v>1.8210604438271454</v>
      </c>
      <c r="T187" s="25">
        <v>42.740287734654494</v>
      </c>
      <c r="U187" s="2">
        <v>31</v>
      </c>
      <c r="V187" s="3">
        <v>403502</v>
      </c>
      <c r="W187" s="3">
        <v>4732649</v>
      </c>
      <c r="X187" s="25">
        <v>-0.5727936451131443</v>
      </c>
      <c r="Y187" s="25">
        <v>47.48920641668827</v>
      </c>
      <c r="Z187" s="6"/>
      <c r="AA187" s="7" t="s">
        <v>5138</v>
      </c>
      <c r="AB187" s="8" t="s">
        <v>5571</v>
      </c>
      <c r="AC187" s="9"/>
      <c r="AD187" s="10">
        <v>1</v>
      </c>
      <c r="AE187" s="31" t="s">
        <v>6701</v>
      </c>
    </row>
    <row r="188" spans="1:31" ht="12.75">
      <c r="A188" s="4" t="s">
        <v>6702</v>
      </c>
      <c r="B188" s="1" t="s">
        <v>5704</v>
      </c>
      <c r="C188" s="1" t="s">
        <v>6703</v>
      </c>
      <c r="D188" s="1" t="s">
        <v>6704</v>
      </c>
      <c r="E188" s="2">
        <v>1280</v>
      </c>
      <c r="F188" s="2">
        <v>71</v>
      </c>
      <c r="G188" s="3" t="s">
        <v>6705</v>
      </c>
      <c r="H188" s="3" t="s">
        <v>6706</v>
      </c>
      <c r="I188" s="3" t="s">
        <v>6707</v>
      </c>
      <c r="J188" s="44" t="str">
        <f>HYPERLINK("https://www.centcols.org/util/geo/visuGen.php?code=FR-09-1280","FR-09-1280")</f>
        <v>FR-09-1280</v>
      </c>
      <c r="K188" s="3"/>
      <c r="L188" s="1" t="s">
        <v>5176</v>
      </c>
      <c r="M188" s="8">
        <v>99</v>
      </c>
      <c r="N188" s="8">
        <v>15</v>
      </c>
      <c r="O188" s="4"/>
      <c r="P188" s="3"/>
      <c r="Q188" s="3" t="s">
        <v>6708</v>
      </c>
      <c r="R188" s="3" t="s">
        <v>6709</v>
      </c>
      <c r="S188" s="25">
        <v>1.0721236133782384</v>
      </c>
      <c r="T188" s="25">
        <v>42.908210994351926</v>
      </c>
      <c r="U188" s="2">
        <v>31</v>
      </c>
      <c r="V188" s="3">
        <v>342626</v>
      </c>
      <c r="W188" s="3">
        <v>4752425</v>
      </c>
      <c r="X188" s="25">
        <v>-1.4049045896137917</v>
      </c>
      <c r="Y188" s="25">
        <v>47.67580344778394</v>
      </c>
      <c r="Z188" s="6"/>
      <c r="AA188" s="7" t="s">
        <v>5176</v>
      </c>
      <c r="AB188" s="8" t="s">
        <v>6710</v>
      </c>
      <c r="AC188" s="9"/>
      <c r="AD188" s="10">
        <v>1</v>
      </c>
      <c r="AE188" s="31" t="s">
        <v>6711</v>
      </c>
    </row>
    <row r="189" spans="1:31" ht="12.75">
      <c r="A189" s="4" t="s">
        <v>6712</v>
      </c>
      <c r="B189" s="1" t="s">
        <v>5923</v>
      </c>
      <c r="C189" s="1" t="s">
        <v>6713</v>
      </c>
      <c r="D189" s="1" t="s">
        <v>6714</v>
      </c>
      <c r="E189" s="2">
        <v>1397</v>
      </c>
      <c r="F189" s="2">
        <v>71</v>
      </c>
      <c r="G189" s="3" t="s">
        <v>6705</v>
      </c>
      <c r="H189" s="3" t="s">
        <v>6715</v>
      </c>
      <c r="I189" s="3" t="s">
        <v>6716</v>
      </c>
      <c r="J189" s="44" t="str">
        <f>HYPERLINK("https://www.centcols.org/util/geo/visuGen.php?code=FR-09-1397","FR-09-1397")</f>
        <v>FR-09-1397</v>
      </c>
      <c r="K189" s="3"/>
      <c r="L189" s="1" t="s">
        <v>5726</v>
      </c>
      <c r="M189" s="8">
        <v>99</v>
      </c>
      <c r="N189" s="8">
        <v>15</v>
      </c>
      <c r="O189" s="4"/>
      <c r="P189" s="3"/>
      <c r="Q189" s="3" t="s">
        <v>6717</v>
      </c>
      <c r="R189" s="3" t="s">
        <v>6718</v>
      </c>
      <c r="S189" s="25">
        <v>0.9226010710503163</v>
      </c>
      <c r="T189" s="25">
        <v>42.895307413585094</v>
      </c>
      <c r="U189" s="2">
        <v>31</v>
      </c>
      <c r="V189" s="3">
        <v>330385</v>
      </c>
      <c r="W189" s="3">
        <v>4751282</v>
      </c>
      <c r="X189" s="25">
        <v>-1.571032789076193</v>
      </c>
      <c r="Y189" s="25">
        <v>47.66146787386082</v>
      </c>
      <c r="Z189" s="6"/>
      <c r="AA189" s="7" t="s">
        <v>5138</v>
      </c>
      <c r="AB189" s="8">
        <v>2005</v>
      </c>
      <c r="AC189" s="9"/>
      <c r="AD189" s="10">
        <v>1</v>
      </c>
      <c r="AE189" s="31" t="s">
        <v>6719</v>
      </c>
    </row>
    <row r="190" spans="1:31" ht="12.75">
      <c r="A190" s="4" t="s">
        <v>6720</v>
      </c>
      <c r="B190" s="1" t="s">
        <v>5815</v>
      </c>
      <c r="C190" s="1" t="s">
        <v>6721</v>
      </c>
      <c r="D190" s="1" t="s">
        <v>6722</v>
      </c>
      <c r="E190" s="2">
        <v>1568</v>
      </c>
      <c r="F190" s="2">
        <v>71</v>
      </c>
      <c r="G190" s="3" t="s">
        <v>6723</v>
      </c>
      <c r="H190" s="3" t="s">
        <v>6724</v>
      </c>
      <c r="I190" s="3" t="s">
        <v>6725</v>
      </c>
      <c r="J190" s="44" t="str">
        <f>HYPERLINK("https://www.centcols.org/util/geo/visuGen.php?code=FR-09-1568","FR-09-1568")</f>
        <v>FR-09-1568</v>
      </c>
      <c r="K190" s="3"/>
      <c r="L190" s="1"/>
      <c r="M190" s="8">
        <v>99</v>
      </c>
      <c r="N190" s="8">
        <v>0</v>
      </c>
      <c r="O190" s="4"/>
      <c r="P190" s="3"/>
      <c r="Q190" s="3" t="s">
        <v>6726</v>
      </c>
      <c r="R190" s="3" t="s">
        <v>6727</v>
      </c>
      <c r="S190" s="25">
        <v>1.6314757543373888</v>
      </c>
      <c r="T190" s="25">
        <v>42.773095702131926</v>
      </c>
      <c r="U190" s="2">
        <v>31</v>
      </c>
      <c r="V190" s="3">
        <v>388043</v>
      </c>
      <c r="W190" s="3">
        <v>4736526</v>
      </c>
      <c r="X190" s="25">
        <v>-0.7834347625918562</v>
      </c>
      <c r="Y190" s="25">
        <v>47.52566287598334</v>
      </c>
      <c r="Z190" s="6"/>
      <c r="AA190" s="7" t="s">
        <v>5176</v>
      </c>
      <c r="AB190" s="8" t="s">
        <v>6728</v>
      </c>
      <c r="AC190" s="9"/>
      <c r="AD190" s="10">
        <v>1</v>
      </c>
      <c r="AE190" s="31" t="s">
        <v>6729</v>
      </c>
    </row>
    <row r="191" spans="1:31" ht="12.75">
      <c r="A191" s="4" t="s">
        <v>6730</v>
      </c>
      <c r="B191" s="1" t="s">
        <v>6731</v>
      </c>
      <c r="C191" s="1" t="s">
        <v>6732</v>
      </c>
      <c r="D191" s="1" t="s">
        <v>6733</v>
      </c>
      <c r="E191" s="2">
        <v>2001</v>
      </c>
      <c r="F191" s="2">
        <v>71</v>
      </c>
      <c r="G191" s="3" t="s">
        <v>6734</v>
      </c>
      <c r="H191" s="3" t="s">
        <v>6735</v>
      </c>
      <c r="I191" s="3" t="s">
        <v>6736</v>
      </c>
      <c r="J191" s="44" t="str">
        <f>HYPERLINK("https://www.centcols.org/util/geo/visuGen.php?code=FR-09-2001a","FR-09-2001a")</f>
        <v>FR-09-2001a</v>
      </c>
      <c r="K191" s="3"/>
      <c r="L191" s="1"/>
      <c r="M191" s="8">
        <v>99</v>
      </c>
      <c r="N191" s="8">
        <v>0</v>
      </c>
      <c r="O191" s="4"/>
      <c r="P191" s="3" t="s">
        <v>6737</v>
      </c>
      <c r="Q191" s="3" t="s">
        <v>6738</v>
      </c>
      <c r="R191" s="3" t="s">
        <v>6739</v>
      </c>
      <c r="S191" s="25">
        <v>0.8515877621997364</v>
      </c>
      <c r="T191" s="25">
        <v>42.85288210565853</v>
      </c>
      <c r="U191" s="2">
        <v>31</v>
      </c>
      <c r="V191" s="3">
        <v>324466</v>
      </c>
      <c r="W191" s="3">
        <v>4746717</v>
      </c>
      <c r="X191" s="25">
        <v>-1.6499337002224315</v>
      </c>
      <c r="Y191" s="25">
        <v>47.61432858671678</v>
      </c>
      <c r="Z191" s="6"/>
      <c r="AA191" s="7" t="s">
        <v>5176</v>
      </c>
      <c r="AB191" s="8" t="s">
        <v>6740</v>
      </c>
      <c r="AC191" s="9"/>
      <c r="AD191" s="10">
        <v>1</v>
      </c>
      <c r="AE191" s="31" t="s">
        <v>6741</v>
      </c>
    </row>
    <row r="192" spans="1:31" ht="12.75">
      <c r="A192" s="4" t="s">
        <v>6742</v>
      </c>
      <c r="B192" s="1" t="s">
        <v>5731</v>
      </c>
      <c r="C192" s="1" t="s">
        <v>6743</v>
      </c>
      <c r="D192" s="1" t="s">
        <v>6744</v>
      </c>
      <c r="E192" s="2">
        <v>2085</v>
      </c>
      <c r="F192" s="2">
        <v>71</v>
      </c>
      <c r="G192" s="3" t="s">
        <v>6745</v>
      </c>
      <c r="H192" s="3" t="s">
        <v>6746</v>
      </c>
      <c r="I192" s="3" t="s">
        <v>6747</v>
      </c>
      <c r="J192" s="44" t="str">
        <f>HYPERLINK("https://www.centcols.org/util/geo/visuGen.php?code=FR-09-2085","FR-09-2085")</f>
        <v>FR-09-2085</v>
      </c>
      <c r="K192" s="3" t="s">
        <v>6748</v>
      </c>
      <c r="L192" s="1" t="s">
        <v>6749</v>
      </c>
      <c r="M192" s="8">
        <v>0</v>
      </c>
      <c r="N192" s="8">
        <v>0</v>
      </c>
      <c r="O192" s="4"/>
      <c r="P192" s="3" t="s">
        <v>6750</v>
      </c>
      <c r="Q192" s="3" t="s">
        <v>6751</v>
      </c>
      <c r="R192" s="3" t="s">
        <v>6752</v>
      </c>
      <c r="S192" s="25">
        <v>1.7357959839395294</v>
      </c>
      <c r="T192" s="25">
        <v>42.54303898917047</v>
      </c>
      <c r="U192" s="2">
        <v>31</v>
      </c>
      <c r="V192" s="3">
        <v>396196</v>
      </c>
      <c r="W192" s="3">
        <v>4710846</v>
      </c>
      <c r="X192" s="25">
        <v>-0.667534681937272</v>
      </c>
      <c r="Y192" s="25">
        <v>47.27003685775939</v>
      </c>
      <c r="Z192" s="6"/>
      <c r="AA192" s="7" t="s">
        <v>5138</v>
      </c>
      <c r="AB192" s="8">
        <v>2001</v>
      </c>
      <c r="AC192" s="9"/>
      <c r="AD192" s="10">
        <v>1</v>
      </c>
      <c r="AE192" s="31" t="s">
        <v>6753</v>
      </c>
    </row>
    <row r="193" spans="1:31" ht="12.75">
      <c r="A193" s="4" t="s">
        <v>6754</v>
      </c>
      <c r="B193" s="1" t="s">
        <v>6755</v>
      </c>
      <c r="C193" s="1" t="s">
        <v>6756</v>
      </c>
      <c r="D193" s="1" t="s">
        <v>6757</v>
      </c>
      <c r="E193" s="2">
        <v>2252</v>
      </c>
      <c r="F193" s="2">
        <v>71</v>
      </c>
      <c r="G193" s="3" t="s">
        <v>6758</v>
      </c>
      <c r="H193" s="3" t="s">
        <v>6759</v>
      </c>
      <c r="I193" s="3" t="s">
        <v>6760</v>
      </c>
      <c r="J193" s="44" t="str">
        <f>HYPERLINK("https://www.centcols.org/util/geo/visuGen.php?code=FR-09-2252a","FR-09-2252a")</f>
        <v>FR-09-2252a</v>
      </c>
      <c r="K193" s="3"/>
      <c r="L193" s="1"/>
      <c r="M193" s="8">
        <v>99</v>
      </c>
      <c r="N193" s="8">
        <v>20</v>
      </c>
      <c r="O193" s="4"/>
      <c r="P193" s="3"/>
      <c r="Q193" s="3" t="s">
        <v>6761</v>
      </c>
      <c r="R193" s="3" t="s">
        <v>6762</v>
      </c>
      <c r="S193" s="25">
        <v>1.984821647771504</v>
      </c>
      <c r="T193" s="25">
        <v>42.671309082090175</v>
      </c>
      <c r="U193" s="2">
        <v>31</v>
      </c>
      <c r="V193" s="3">
        <v>416814</v>
      </c>
      <c r="W193" s="3">
        <v>4724815</v>
      </c>
      <c r="X193" s="25">
        <v>-0.39084590911971434</v>
      </c>
      <c r="Y193" s="25">
        <v>47.412558407521686</v>
      </c>
      <c r="Z193" s="6"/>
      <c r="AA193" s="7" t="s">
        <v>5176</v>
      </c>
      <c r="AB193" s="8" t="s">
        <v>6740</v>
      </c>
      <c r="AC193" s="9"/>
      <c r="AD193" s="10">
        <v>1</v>
      </c>
      <c r="AE193" s="31" t="s">
        <v>6763</v>
      </c>
    </row>
    <row r="194" spans="1:31" ht="12.75">
      <c r="A194" s="4" t="s">
        <v>6764</v>
      </c>
      <c r="B194" s="1" t="s">
        <v>6765</v>
      </c>
      <c r="C194" s="1" t="s">
        <v>6766</v>
      </c>
      <c r="D194" s="1" t="s">
        <v>6767</v>
      </c>
      <c r="E194" s="2">
        <v>2442</v>
      </c>
      <c r="F194" s="2">
        <v>71</v>
      </c>
      <c r="G194" s="3" t="s">
        <v>6768</v>
      </c>
      <c r="H194" s="3" t="s">
        <v>6769</v>
      </c>
      <c r="I194" s="3" t="s">
        <v>6770</v>
      </c>
      <c r="J194" s="44" t="str">
        <f>HYPERLINK("https://www.centcols.org/util/geo/visuGen.php?code=FR-09-2442a","FR-09-2442a")</f>
        <v>FR-09-2442a</v>
      </c>
      <c r="K194" s="3"/>
      <c r="L194" s="1"/>
      <c r="M194" s="8">
        <v>99</v>
      </c>
      <c r="N194" s="8">
        <v>20</v>
      </c>
      <c r="O194" s="4"/>
      <c r="P194" s="3"/>
      <c r="Q194" s="3" t="s">
        <v>6771</v>
      </c>
      <c r="R194" s="3" t="s">
        <v>6772</v>
      </c>
      <c r="S194" s="25">
        <v>1.0359463627547263</v>
      </c>
      <c r="T194" s="25">
        <v>42.78030351438332</v>
      </c>
      <c r="U194" s="2">
        <v>31</v>
      </c>
      <c r="V194" s="3">
        <v>339342</v>
      </c>
      <c r="W194" s="3">
        <v>4738289</v>
      </c>
      <c r="X194" s="25">
        <v>-1.4451028338449274</v>
      </c>
      <c r="Y194" s="25">
        <v>47.53368182505987</v>
      </c>
      <c r="Z194" s="6"/>
      <c r="AA194" s="7" t="s">
        <v>5176</v>
      </c>
      <c r="AB194" s="8" t="s">
        <v>6110</v>
      </c>
      <c r="AC194" s="9"/>
      <c r="AD194" s="10">
        <v>1</v>
      </c>
      <c r="AE194" s="31" t="s">
        <v>6773</v>
      </c>
    </row>
    <row r="195" spans="1:31" ht="12.75">
      <c r="A195" s="4" t="s">
        <v>6774</v>
      </c>
      <c r="B195" s="1" t="s">
        <v>5262</v>
      </c>
      <c r="C195" s="1" t="s">
        <v>6775</v>
      </c>
      <c r="D195" s="1" t="s">
        <v>6775</v>
      </c>
      <c r="E195" s="2">
        <v>2588</v>
      </c>
      <c r="F195" s="2">
        <v>71</v>
      </c>
      <c r="G195" s="3" t="s">
        <v>6776</v>
      </c>
      <c r="H195" s="3" t="s">
        <v>6777</v>
      </c>
      <c r="I195" s="3" t="s">
        <v>6778</v>
      </c>
      <c r="J195" s="44" t="str">
        <f>HYPERLINK("https://www.centcols.org/util/geo/visuGen.php?code=FR-09-2588","FR-09-2588")</f>
        <v>FR-09-2588</v>
      </c>
      <c r="K195" s="3"/>
      <c r="L195" s="1" t="s">
        <v>6779</v>
      </c>
      <c r="M195" s="8">
        <v>99</v>
      </c>
      <c r="N195" s="8">
        <v>15</v>
      </c>
      <c r="O195" s="4"/>
      <c r="P195" s="3" t="s">
        <v>6780</v>
      </c>
      <c r="Q195" s="3" t="s">
        <v>6781</v>
      </c>
      <c r="R195" s="3" t="s">
        <v>6782</v>
      </c>
      <c r="S195" s="25">
        <v>1.973417</v>
      </c>
      <c r="T195" s="25">
        <v>42.618027</v>
      </c>
      <c r="U195" s="2">
        <v>31</v>
      </c>
      <c r="V195" s="3">
        <v>415808</v>
      </c>
      <c r="W195" s="3">
        <v>4718909</v>
      </c>
      <c r="X195" s="25">
        <v>-0.403519</v>
      </c>
      <c r="Y195" s="25">
        <v>47.353354</v>
      </c>
      <c r="Z195" s="6"/>
      <c r="AA195" s="7" t="s">
        <v>5176</v>
      </c>
      <c r="AB195" s="8">
        <v>2016</v>
      </c>
      <c r="AC195" s="9"/>
      <c r="AD195" s="10"/>
      <c r="AE195" s="31" t="s">
        <v>6783</v>
      </c>
    </row>
    <row r="196" spans="1:31" ht="12.75">
      <c r="A196" s="4" t="s">
        <v>6784</v>
      </c>
      <c r="B196" s="1" t="s">
        <v>5202</v>
      </c>
      <c r="C196" s="1" t="s">
        <v>6785</v>
      </c>
      <c r="D196" s="1" t="s">
        <v>6786</v>
      </c>
      <c r="E196" s="2">
        <v>2650</v>
      </c>
      <c r="F196" s="2">
        <v>71</v>
      </c>
      <c r="G196" s="3" t="s">
        <v>6787</v>
      </c>
      <c r="H196" s="3" t="s">
        <v>6788</v>
      </c>
      <c r="I196" s="3" t="s">
        <v>6789</v>
      </c>
      <c r="J196" s="44" t="str">
        <f>HYPERLINK("https://www.centcols.org/util/geo/visuGen.php?code=FR-09-2650","FR-09-2650")</f>
        <v>FR-09-2650</v>
      </c>
      <c r="K196" s="3"/>
      <c r="L196" s="1" t="s">
        <v>5746</v>
      </c>
      <c r="M196" s="8">
        <v>99</v>
      </c>
      <c r="N196" s="8">
        <v>20</v>
      </c>
      <c r="O196" s="4"/>
      <c r="P196" s="3"/>
      <c r="Q196" s="3" t="s">
        <v>6790</v>
      </c>
      <c r="R196" s="3" t="s">
        <v>6791</v>
      </c>
      <c r="S196" s="25">
        <v>1.0826549604900084</v>
      </c>
      <c r="T196" s="25">
        <v>42.79321183628664</v>
      </c>
      <c r="U196" s="2">
        <v>31</v>
      </c>
      <c r="V196" s="3">
        <v>343195</v>
      </c>
      <c r="W196" s="3">
        <v>4739634</v>
      </c>
      <c r="X196" s="25">
        <v>-1.3932000914731877</v>
      </c>
      <c r="Y196" s="25">
        <v>47.548</v>
      </c>
      <c r="Z196" s="6"/>
      <c r="AA196" s="7" t="s">
        <v>5176</v>
      </c>
      <c r="AB196" s="8" t="s">
        <v>5802</v>
      </c>
      <c r="AC196" s="9"/>
      <c r="AD196" s="10">
        <v>1</v>
      </c>
      <c r="AE196" s="31" t="s">
        <v>6792</v>
      </c>
    </row>
    <row r="197" spans="1:31" ht="12.75">
      <c r="A197" s="4" t="s">
        <v>6793</v>
      </c>
      <c r="B197" s="1" t="s">
        <v>6794</v>
      </c>
      <c r="C197" s="1" t="s">
        <v>6795</v>
      </c>
      <c r="D197" s="1" t="s">
        <v>6796</v>
      </c>
      <c r="E197" s="2">
        <v>2671</v>
      </c>
      <c r="F197" s="2">
        <v>71</v>
      </c>
      <c r="G197" s="3" t="s">
        <v>6797</v>
      </c>
      <c r="H197" s="3" t="s">
        <v>6798</v>
      </c>
      <c r="I197" s="3" t="s">
        <v>6799</v>
      </c>
      <c r="J197" s="44" t="str">
        <f>HYPERLINK("https://www.centcols.org/util/geo/visuGen.php?code=FR-09-2675","FR-09-2675")</f>
        <v>FR-09-2675</v>
      </c>
      <c r="K197" s="3"/>
      <c r="L197" s="1"/>
      <c r="M197" s="8">
        <v>99</v>
      </c>
      <c r="N197" s="8">
        <v>20</v>
      </c>
      <c r="O197" s="4"/>
      <c r="P197" s="3"/>
      <c r="Q197" s="3" t="s">
        <v>6800</v>
      </c>
      <c r="R197" s="3" t="s">
        <v>6801</v>
      </c>
      <c r="S197" s="25">
        <v>1.58787</v>
      </c>
      <c r="T197" s="25">
        <v>42.633594</v>
      </c>
      <c r="U197" s="2">
        <v>38</v>
      </c>
      <c r="V197" s="3">
        <v>384217</v>
      </c>
      <c r="W197" s="3">
        <v>4721094</v>
      </c>
      <c r="X197" s="25">
        <v>-0.831887</v>
      </c>
      <c r="Y197" s="25">
        <v>47.370658</v>
      </c>
      <c r="Z197" s="6"/>
      <c r="AA197" s="7" t="s">
        <v>5176</v>
      </c>
      <c r="AB197" s="8">
        <v>2014</v>
      </c>
      <c r="AC197" s="9" t="s">
        <v>6802</v>
      </c>
      <c r="AD197" s="10">
        <v>34</v>
      </c>
      <c r="AE197" s="31" t="s">
        <v>6803</v>
      </c>
    </row>
    <row r="198" spans="1:31" ht="12.75">
      <c r="A198" s="4" t="s">
        <v>6804</v>
      </c>
      <c r="B198" s="1" t="s">
        <v>5731</v>
      </c>
      <c r="C198" s="1" t="s">
        <v>6805</v>
      </c>
      <c r="D198" s="1" t="s">
        <v>6806</v>
      </c>
      <c r="E198" s="2">
        <v>50</v>
      </c>
      <c r="F198" s="2">
        <v>72</v>
      </c>
      <c r="G198" s="3" t="s">
        <v>6807</v>
      </c>
      <c r="H198" s="3" t="s">
        <v>6808</v>
      </c>
      <c r="I198" s="3" t="s">
        <v>6809</v>
      </c>
      <c r="J198" s="44" t="str">
        <f>HYPERLINK("https://www.centcols.org/util/geo/visuGen.php?code=FR-11-0050a","FR-11-0050a")</f>
        <v>FR-11-0050a</v>
      </c>
      <c r="K198" s="3" t="s">
        <v>6810</v>
      </c>
      <c r="L198" s="1" t="s">
        <v>5157</v>
      </c>
      <c r="M198" s="8">
        <v>0</v>
      </c>
      <c r="N198" s="8">
        <v>0</v>
      </c>
      <c r="O198" s="4"/>
      <c r="P198" s="3"/>
      <c r="Q198" s="3" t="s">
        <v>6811</v>
      </c>
      <c r="R198" s="3" t="s">
        <v>6812</v>
      </c>
      <c r="S198" s="25">
        <v>2.9448401710503354</v>
      </c>
      <c r="T198" s="25">
        <v>42.997511798709624</v>
      </c>
      <c r="U198" s="2">
        <v>31</v>
      </c>
      <c r="V198" s="3">
        <v>495504</v>
      </c>
      <c r="W198" s="3">
        <v>4760540</v>
      </c>
      <c r="X198" s="25">
        <v>0.6758139425950056</v>
      </c>
      <c r="Y198" s="25">
        <v>47.77500149564637</v>
      </c>
      <c r="Z198" s="6"/>
      <c r="AA198" s="7" t="s">
        <v>5138</v>
      </c>
      <c r="AB198" s="8">
        <v>2007</v>
      </c>
      <c r="AC198" s="9"/>
      <c r="AD198" s="10">
        <v>1</v>
      </c>
      <c r="AE198" s="31" t="s">
        <v>6813</v>
      </c>
    </row>
    <row r="199" spans="1:31" ht="12.75">
      <c r="A199" s="4" t="s">
        <v>6814</v>
      </c>
      <c r="B199" s="1" t="s">
        <v>5904</v>
      </c>
      <c r="C199" s="1" t="s">
        <v>6815</v>
      </c>
      <c r="D199" s="1" t="s">
        <v>6816</v>
      </c>
      <c r="E199" s="2">
        <v>56</v>
      </c>
      <c r="F199" s="2">
        <v>72</v>
      </c>
      <c r="G199" s="3" t="s">
        <v>6817</v>
      </c>
      <c r="H199" s="3" t="s">
        <v>6818</v>
      </c>
      <c r="I199" s="3" t="s">
        <v>6819</v>
      </c>
      <c r="J199" s="44" t="str">
        <f>HYPERLINK("https://www.centcols.org/util/geo/visuGen.php?code=FR-11-0056","FR-11-0056")</f>
        <v>FR-11-0056</v>
      </c>
      <c r="K199" s="3"/>
      <c r="L199" s="1" t="s">
        <v>6820</v>
      </c>
      <c r="M199" s="8">
        <v>0</v>
      </c>
      <c r="N199" s="8">
        <v>0</v>
      </c>
      <c r="O199" s="4"/>
      <c r="P199" s="3"/>
      <c r="Q199" s="3" t="s">
        <v>6821</v>
      </c>
      <c r="R199" s="3" t="s">
        <v>6822</v>
      </c>
      <c r="S199" s="25">
        <v>3.023741014967336</v>
      </c>
      <c r="T199" s="25">
        <v>43.025571531922054</v>
      </c>
      <c r="U199" s="2">
        <v>31</v>
      </c>
      <c r="V199" s="3">
        <v>501934</v>
      </c>
      <c r="W199" s="3">
        <v>4763655</v>
      </c>
      <c r="X199" s="25">
        <v>0.7634795028660395</v>
      </c>
      <c r="Y199" s="25">
        <v>47.80617902595739</v>
      </c>
      <c r="Z199" s="6"/>
      <c r="AA199" s="7" t="s">
        <v>5176</v>
      </c>
      <c r="AB199" s="8" t="s">
        <v>5911</v>
      </c>
      <c r="AC199" s="9"/>
      <c r="AD199" s="10">
        <v>1</v>
      </c>
      <c r="AE199" s="31" t="s">
        <v>5803</v>
      </c>
    </row>
    <row r="200" spans="1:31" ht="12.75">
      <c r="A200" s="4" t="s">
        <v>6823</v>
      </c>
      <c r="B200" s="1" t="s">
        <v>5128</v>
      </c>
      <c r="C200" s="1" t="s">
        <v>4019</v>
      </c>
      <c r="D200" s="1" t="s">
        <v>4020</v>
      </c>
      <c r="E200" s="2">
        <v>70</v>
      </c>
      <c r="F200" s="2">
        <v>72</v>
      </c>
      <c r="G200" s="3" t="s">
        <v>4021</v>
      </c>
      <c r="H200" s="3" t="s">
        <v>4022</v>
      </c>
      <c r="I200" s="3" t="s">
        <v>4023</v>
      </c>
      <c r="J200" s="44" t="str">
        <f>HYPERLINK("https://www.centcols.org/util/geo/visuGen.php?code=FR-11-0070","FR-11-0070")</f>
        <v>FR-11-0070</v>
      </c>
      <c r="K200" s="3"/>
      <c r="L200" s="1" t="s">
        <v>5138</v>
      </c>
      <c r="M200" s="8">
        <v>35</v>
      </c>
      <c r="N200" s="8">
        <v>10</v>
      </c>
      <c r="O200" s="4"/>
      <c r="P200" s="3"/>
      <c r="Q200" s="3" t="s">
        <v>4024</v>
      </c>
      <c r="R200" s="3" t="s">
        <v>4025</v>
      </c>
      <c r="S200" s="25">
        <v>2.621367447125173</v>
      </c>
      <c r="T200" s="25">
        <v>43.19431238870142</v>
      </c>
      <c r="U200" s="2">
        <v>31</v>
      </c>
      <c r="V200" s="3">
        <v>469236</v>
      </c>
      <c r="W200" s="3">
        <v>4782463</v>
      </c>
      <c r="X200" s="25">
        <v>0.31641666279058395</v>
      </c>
      <c r="Y200" s="25">
        <v>47.99368173426276</v>
      </c>
      <c r="Z200" s="6"/>
      <c r="AA200" s="7" t="s">
        <v>5138</v>
      </c>
      <c r="AB200" s="8" t="s">
        <v>5571</v>
      </c>
      <c r="AC200" s="9"/>
      <c r="AD200" s="10">
        <v>1</v>
      </c>
      <c r="AE200" s="31" t="s">
        <v>6701</v>
      </c>
    </row>
    <row r="201" spans="1:31" ht="12.75">
      <c r="A201" s="4" t="s">
        <v>4026</v>
      </c>
      <c r="B201" s="1" t="s">
        <v>5128</v>
      </c>
      <c r="C201" s="1" t="s">
        <v>4027</v>
      </c>
      <c r="D201" s="1" t="s">
        <v>4028</v>
      </c>
      <c r="E201" s="2">
        <v>86</v>
      </c>
      <c r="F201" s="2">
        <v>72</v>
      </c>
      <c r="G201" s="3" t="s">
        <v>4021</v>
      </c>
      <c r="H201" s="3" t="s">
        <v>4029</v>
      </c>
      <c r="I201" s="3" t="s">
        <v>4030</v>
      </c>
      <c r="J201" s="44" t="str">
        <f>HYPERLINK("https://www.centcols.org/util/geo/visuGen.php?code=FR-11-0086","FR-11-0086")</f>
        <v>FR-11-0086</v>
      </c>
      <c r="K201" s="3"/>
      <c r="L201" s="1" t="s">
        <v>5257</v>
      </c>
      <c r="M201" s="8">
        <v>1</v>
      </c>
      <c r="N201" s="8">
        <v>10</v>
      </c>
      <c r="O201" s="4"/>
      <c r="P201" s="3"/>
      <c r="Q201" s="3" t="s">
        <v>4031</v>
      </c>
      <c r="R201" s="3" t="s">
        <v>4032</v>
      </c>
      <c r="S201" s="25">
        <v>2.547375318828093</v>
      </c>
      <c r="T201" s="25">
        <v>43.182911513801145</v>
      </c>
      <c r="U201" s="2">
        <v>31</v>
      </c>
      <c r="V201" s="3">
        <v>463217</v>
      </c>
      <c r="W201" s="3">
        <v>4781227</v>
      </c>
      <c r="X201" s="25">
        <v>0.23421284563482703</v>
      </c>
      <c r="Y201" s="25">
        <v>47.981</v>
      </c>
      <c r="Z201" s="6"/>
      <c r="AA201" s="7" t="s">
        <v>5176</v>
      </c>
      <c r="AB201" s="8" t="s">
        <v>5802</v>
      </c>
      <c r="AC201" s="9"/>
      <c r="AD201" s="10">
        <v>1</v>
      </c>
      <c r="AE201" s="31" t="s">
        <v>4033</v>
      </c>
    </row>
    <row r="202" spans="1:31" ht="12.75">
      <c r="A202" s="4" t="s">
        <v>4034</v>
      </c>
      <c r="B202" s="1" t="s">
        <v>5815</v>
      </c>
      <c r="C202" s="1" t="s">
        <v>4035</v>
      </c>
      <c r="D202" s="1" t="s">
        <v>4036</v>
      </c>
      <c r="E202" s="2">
        <v>104</v>
      </c>
      <c r="F202" s="2">
        <v>72</v>
      </c>
      <c r="G202" s="3" t="s">
        <v>6807</v>
      </c>
      <c r="H202" s="3" t="s">
        <v>4037</v>
      </c>
      <c r="I202" s="3" t="s">
        <v>4038</v>
      </c>
      <c r="J202" s="44" t="str">
        <f>HYPERLINK("https://www.centcols.org/util/geo/visuGen.php?code=FR-11-0104","FR-11-0104")</f>
        <v>FR-11-0104</v>
      </c>
      <c r="K202" s="3"/>
      <c r="L202" s="1"/>
      <c r="M202" s="8">
        <v>99</v>
      </c>
      <c r="N202" s="8">
        <v>20</v>
      </c>
      <c r="O202" s="4"/>
      <c r="P202" s="3"/>
      <c r="Q202" s="3" t="s">
        <v>4039</v>
      </c>
      <c r="R202" s="3" t="s">
        <v>4040</v>
      </c>
      <c r="S202" s="25">
        <v>2.971218556563726</v>
      </c>
      <c r="T202" s="25">
        <v>42.883437549324704</v>
      </c>
      <c r="U202" s="2">
        <v>31</v>
      </c>
      <c r="V202" s="3">
        <v>497650</v>
      </c>
      <c r="W202" s="3">
        <v>4747871</v>
      </c>
      <c r="X202" s="25">
        <v>0.7051203996272886</v>
      </c>
      <c r="Y202" s="25">
        <v>47.64824852501473</v>
      </c>
      <c r="Z202" s="6"/>
      <c r="AA202" s="7" t="s">
        <v>5138</v>
      </c>
      <c r="AB202" s="8" t="s">
        <v>5571</v>
      </c>
      <c r="AC202" s="9"/>
      <c r="AD202" s="10">
        <v>1</v>
      </c>
      <c r="AE202" s="31" t="s">
        <v>6701</v>
      </c>
    </row>
    <row r="203" spans="1:31" ht="22.5">
      <c r="A203" s="18" t="s">
        <v>4041</v>
      </c>
      <c r="B203" s="20" t="s">
        <v>4042</v>
      </c>
      <c r="C203" s="20" t="s">
        <v>4043</v>
      </c>
      <c r="D203" s="20" t="s">
        <v>4044</v>
      </c>
      <c r="E203" s="19">
        <v>122</v>
      </c>
      <c r="F203" s="14">
        <v>72</v>
      </c>
      <c r="G203" s="19" t="s">
        <v>4045</v>
      </c>
      <c r="H203" s="19" t="s">
        <v>4046</v>
      </c>
      <c r="I203" s="19" t="s">
        <v>4047</v>
      </c>
      <c r="J203" s="44" t="str">
        <f>HYPERLINK("https://www.centcols.org/util/geo/visuGen.php?code=FR-11-0122","FR-11-0122")</f>
        <v>FR-11-0122</v>
      </c>
      <c r="K203" s="19"/>
      <c r="L203" s="20" t="s">
        <v>5176</v>
      </c>
      <c r="M203" s="19">
        <v>99</v>
      </c>
      <c r="N203" s="19">
        <v>15</v>
      </c>
      <c r="O203" s="18"/>
      <c r="P203" s="19"/>
      <c r="Q203" s="19" t="s">
        <v>4048</v>
      </c>
      <c r="R203" s="19" t="s">
        <v>4049</v>
      </c>
      <c r="S203" s="59">
        <v>3.07477</v>
      </c>
      <c r="T203" s="59">
        <v>43.13253</v>
      </c>
      <c r="U203" s="19">
        <v>31</v>
      </c>
      <c r="V203" s="3">
        <v>506081</v>
      </c>
      <c r="W203" s="3">
        <v>4775535</v>
      </c>
      <c r="X203" s="59">
        <v>0.820178</v>
      </c>
      <c r="Y203" s="59">
        <v>47.925025</v>
      </c>
      <c r="Z203" s="61"/>
      <c r="AA203" s="54" t="s">
        <v>5138</v>
      </c>
      <c r="AB203" s="54">
        <v>2018</v>
      </c>
      <c r="AC203" s="57">
        <v>43199</v>
      </c>
      <c r="AD203" s="54"/>
      <c r="AE203" s="61" t="s">
        <v>4050</v>
      </c>
    </row>
    <row r="204" spans="1:31" ht="12.75">
      <c r="A204" s="4" t="s">
        <v>4051</v>
      </c>
      <c r="B204" s="1" t="s">
        <v>4052</v>
      </c>
      <c r="C204" s="1" t="s">
        <v>4053</v>
      </c>
      <c r="D204" s="1" t="s">
        <v>4054</v>
      </c>
      <c r="E204" s="2">
        <v>140</v>
      </c>
      <c r="F204" s="2">
        <v>72</v>
      </c>
      <c r="G204" s="3" t="s">
        <v>4055</v>
      </c>
      <c r="H204" s="3" t="s">
        <v>4056</v>
      </c>
      <c r="I204" s="3" t="s">
        <v>4057</v>
      </c>
      <c r="J204" s="44" t="str">
        <f>HYPERLINK("https://www.centcols.org/util/geo/visuGen.php?code=FR-11-0140","FR-11-0140")</f>
        <v>FR-11-0140</v>
      </c>
      <c r="K204" s="3"/>
      <c r="L204" s="1" t="s">
        <v>5138</v>
      </c>
      <c r="M204" s="8">
        <v>35</v>
      </c>
      <c r="N204" s="8">
        <v>10</v>
      </c>
      <c r="O204" s="4"/>
      <c r="P204" s="3"/>
      <c r="Q204" s="3" t="s">
        <v>4058</v>
      </c>
      <c r="R204" s="3" t="s">
        <v>4059</v>
      </c>
      <c r="S204" s="25">
        <v>2.83713182085795</v>
      </c>
      <c r="T204" s="25">
        <v>42.952066054879324</v>
      </c>
      <c r="U204" s="2">
        <v>31</v>
      </c>
      <c r="V204" s="3">
        <v>486715</v>
      </c>
      <c r="W204" s="3">
        <v>4755505</v>
      </c>
      <c r="X204" s="25">
        <v>0.5561405981686851</v>
      </c>
      <c r="Y204" s="25">
        <v>47.72450637763571</v>
      </c>
      <c r="Z204" s="6"/>
      <c r="AA204" s="7" t="s">
        <v>5176</v>
      </c>
      <c r="AB204" s="8" t="s">
        <v>5802</v>
      </c>
      <c r="AC204" s="9"/>
      <c r="AD204" s="10">
        <v>1</v>
      </c>
      <c r="AE204" s="31" t="s">
        <v>5803</v>
      </c>
    </row>
    <row r="205" spans="1:31" ht="12.75">
      <c r="A205" s="4" t="s">
        <v>4060</v>
      </c>
      <c r="B205" s="1" t="s">
        <v>4061</v>
      </c>
      <c r="C205" s="1" t="s">
        <v>4062</v>
      </c>
      <c r="D205" s="1" t="s">
        <v>4063</v>
      </c>
      <c r="E205" s="2">
        <v>160</v>
      </c>
      <c r="F205" s="2">
        <v>72</v>
      </c>
      <c r="G205" s="3" t="s">
        <v>4064</v>
      </c>
      <c r="H205" s="3" t="s">
        <v>4065</v>
      </c>
      <c r="I205" s="3" t="s">
        <v>4066</v>
      </c>
      <c r="J205" s="44" t="str">
        <f>HYPERLINK("https://www.centcols.org/util/geo/visuGen.php?code=FR-11-0160","FR-11-0160")</f>
        <v>FR-11-0160</v>
      </c>
      <c r="K205" s="3"/>
      <c r="L205" s="1" t="s">
        <v>5138</v>
      </c>
      <c r="M205" s="8">
        <v>35</v>
      </c>
      <c r="N205" s="8">
        <v>10</v>
      </c>
      <c r="O205" s="4"/>
      <c r="P205" s="3"/>
      <c r="Q205" s="3" t="s">
        <v>4067</v>
      </c>
      <c r="R205" s="3" t="s">
        <v>4068</v>
      </c>
      <c r="S205" s="25">
        <v>2.5456340557061106</v>
      </c>
      <c r="T205" s="25">
        <v>43.281436354773405</v>
      </c>
      <c r="U205" s="2">
        <v>31</v>
      </c>
      <c r="V205" s="3">
        <v>463135</v>
      </c>
      <c r="W205" s="3">
        <v>4792169</v>
      </c>
      <c r="X205" s="25">
        <v>0.23227092972824046</v>
      </c>
      <c r="Y205" s="25">
        <v>48.090487463319946</v>
      </c>
      <c r="Z205" s="6"/>
      <c r="AA205" s="7" t="s">
        <v>5138</v>
      </c>
      <c r="AB205" s="8">
        <v>2007</v>
      </c>
      <c r="AC205" s="9"/>
      <c r="AD205" s="10">
        <v>1</v>
      </c>
      <c r="AE205" s="31" t="s">
        <v>4069</v>
      </c>
    </row>
    <row r="206" spans="1:31" ht="12.75">
      <c r="A206" s="18" t="s">
        <v>4070</v>
      </c>
      <c r="B206" s="20" t="s">
        <v>4071</v>
      </c>
      <c r="C206" s="20" t="s">
        <v>4072</v>
      </c>
      <c r="D206" s="20" t="s">
        <v>4073</v>
      </c>
      <c r="E206" s="19">
        <v>190</v>
      </c>
      <c r="F206" s="14">
        <v>72</v>
      </c>
      <c r="G206" s="19" t="s">
        <v>4055</v>
      </c>
      <c r="H206" s="19" t="s">
        <v>4074</v>
      </c>
      <c r="I206" s="19" t="s">
        <v>4075</v>
      </c>
      <c r="J206" s="44" t="str">
        <f>HYPERLINK("https://www.centcols.org/util/geo/visuGen.php?code=FR-11-0190","FR-11-0190")</f>
        <v>FR-11-0190</v>
      </c>
      <c r="K206" s="19" t="s">
        <v>4076</v>
      </c>
      <c r="L206" s="20" t="s">
        <v>4077</v>
      </c>
      <c r="M206" s="19">
        <v>0</v>
      </c>
      <c r="N206" s="19">
        <v>0</v>
      </c>
      <c r="O206" s="18"/>
      <c r="P206" s="19"/>
      <c r="Q206" s="19" t="s">
        <v>4078</v>
      </c>
      <c r="R206" s="19" t="s">
        <v>4079</v>
      </c>
      <c r="S206" s="59">
        <v>2.752124</v>
      </c>
      <c r="T206" s="59">
        <v>42.981949</v>
      </c>
      <c r="U206" s="19">
        <v>31</v>
      </c>
      <c r="V206" s="3">
        <v>479790</v>
      </c>
      <c r="W206" s="3">
        <v>4758840</v>
      </c>
      <c r="X206" s="59">
        <v>0.461691</v>
      </c>
      <c r="Y206" s="59">
        <v>47.757712</v>
      </c>
      <c r="Z206" s="18"/>
      <c r="AA206" s="19" t="s">
        <v>5138</v>
      </c>
      <c r="AB206" s="11">
        <v>2018</v>
      </c>
      <c r="AC206" s="12">
        <v>43250</v>
      </c>
      <c r="AD206" s="54"/>
      <c r="AE206" s="23" t="s">
        <v>4080</v>
      </c>
    </row>
    <row r="207" spans="1:31" ht="12.75">
      <c r="A207" s="18" t="s">
        <v>4081</v>
      </c>
      <c r="B207" s="20" t="s">
        <v>5815</v>
      </c>
      <c r="C207" s="20" t="s">
        <v>4082</v>
      </c>
      <c r="D207" s="20" t="s">
        <v>4083</v>
      </c>
      <c r="E207" s="19">
        <v>195</v>
      </c>
      <c r="F207" s="14">
        <v>72</v>
      </c>
      <c r="G207" s="19" t="s">
        <v>4055</v>
      </c>
      <c r="H207" s="19" t="s">
        <v>4084</v>
      </c>
      <c r="I207" s="19" t="s">
        <v>4085</v>
      </c>
      <c r="J207" s="44" t="str">
        <f>HYPERLINK("https://www.centcols.org/util/geo/visuGen.php?code=FR-11-0195c","FR-11-0195c")</f>
        <v>FR-11-0195c</v>
      </c>
      <c r="K207" s="19" t="s">
        <v>4086</v>
      </c>
      <c r="L207" s="20" t="s">
        <v>5138</v>
      </c>
      <c r="M207" s="19">
        <v>1</v>
      </c>
      <c r="N207" s="19">
        <v>10</v>
      </c>
      <c r="O207" s="18"/>
      <c r="P207" s="19"/>
      <c r="Q207" s="19" t="s">
        <v>4087</v>
      </c>
      <c r="R207" s="19" t="s">
        <v>4088</v>
      </c>
      <c r="S207" s="59">
        <v>2.764835</v>
      </c>
      <c r="T207" s="59">
        <v>42.988111</v>
      </c>
      <c r="U207" s="19">
        <v>31</v>
      </c>
      <c r="V207" s="3">
        <v>480828</v>
      </c>
      <c r="W207" s="3">
        <v>4759521</v>
      </c>
      <c r="X207" s="59">
        <v>0.475814</v>
      </c>
      <c r="Y207" s="59">
        <v>47.764559</v>
      </c>
      <c r="Z207" s="18"/>
      <c r="AA207" s="19" t="s">
        <v>5138</v>
      </c>
      <c r="AB207" s="11">
        <v>2018</v>
      </c>
      <c r="AC207" s="12">
        <v>43250</v>
      </c>
      <c r="AD207" s="54"/>
      <c r="AE207" s="23" t="s">
        <v>4089</v>
      </c>
    </row>
    <row r="208" spans="1:31" ht="12.75">
      <c r="A208" s="4" t="s">
        <v>4090</v>
      </c>
      <c r="B208" s="1" t="s">
        <v>4091</v>
      </c>
      <c r="C208" s="1" t="s">
        <v>4092</v>
      </c>
      <c r="D208" s="1" t="s">
        <v>4093</v>
      </c>
      <c r="E208" s="2">
        <v>188</v>
      </c>
      <c r="F208" s="2">
        <v>72</v>
      </c>
      <c r="G208" s="3" t="s">
        <v>4094</v>
      </c>
      <c r="H208" s="3" t="s">
        <v>4095</v>
      </c>
      <c r="I208" s="3" t="s">
        <v>4096</v>
      </c>
      <c r="J208" s="44" t="str">
        <f>HYPERLINK("https://www.centcols.org/util/geo/visuGen.php?code=FR-11-0222","FR-11-0222")</f>
        <v>FR-11-0222</v>
      </c>
      <c r="K208" s="3" t="s">
        <v>4097</v>
      </c>
      <c r="L208" s="1" t="s">
        <v>4098</v>
      </c>
      <c r="M208" s="8">
        <v>0</v>
      </c>
      <c r="N208" s="8">
        <v>0</v>
      </c>
      <c r="O208" s="4"/>
      <c r="P208" s="3"/>
      <c r="Q208" s="3" t="s">
        <v>4099</v>
      </c>
      <c r="R208" s="3" t="s">
        <v>4100</v>
      </c>
      <c r="S208" s="25">
        <v>2.389694901738844</v>
      </c>
      <c r="T208" s="25">
        <v>43.16827521479317</v>
      </c>
      <c r="U208" s="2">
        <v>31</v>
      </c>
      <c r="V208" s="3">
        <v>450391</v>
      </c>
      <c r="W208" s="3">
        <v>4779683</v>
      </c>
      <c r="X208" s="25">
        <v>0.059008211567020345</v>
      </c>
      <c r="Y208" s="25">
        <v>47.964751377610526</v>
      </c>
      <c r="Z208" s="6"/>
      <c r="AA208" s="7" t="s">
        <v>5176</v>
      </c>
      <c r="AB208" s="8" t="s">
        <v>5911</v>
      </c>
      <c r="AC208" s="9"/>
      <c r="AD208" s="10">
        <v>1</v>
      </c>
      <c r="AE208" s="31" t="s">
        <v>5803</v>
      </c>
    </row>
    <row r="209" spans="1:31" ht="12.75">
      <c r="A209" s="13" t="s">
        <v>4101</v>
      </c>
      <c r="B209" s="1" t="s">
        <v>4102</v>
      </c>
      <c r="C209" s="1" t="s">
        <v>4103</v>
      </c>
      <c r="D209" s="1" t="s">
        <v>4104</v>
      </c>
      <c r="E209" s="2">
        <v>225</v>
      </c>
      <c r="F209" s="2">
        <v>72</v>
      </c>
      <c r="G209" s="3" t="s">
        <v>4105</v>
      </c>
      <c r="H209" s="3" t="s">
        <v>6855</v>
      </c>
      <c r="I209" s="3" t="s">
        <v>6856</v>
      </c>
      <c r="J209" s="44" t="str">
        <f>HYPERLINK("https://www.centcols.org/util/geo/visuGen.php?code=FR-11-0225a","FR-11-0225a")</f>
        <v>FR-11-0225a</v>
      </c>
      <c r="K209" s="3"/>
      <c r="L209" s="1" t="s">
        <v>5138</v>
      </c>
      <c r="M209" s="2">
        <v>35</v>
      </c>
      <c r="N209" s="2">
        <v>10</v>
      </c>
      <c r="O209" s="21"/>
      <c r="P209" s="3"/>
      <c r="Q209" s="3" t="s">
        <v>6857</v>
      </c>
      <c r="R209" s="3" t="s">
        <v>6969</v>
      </c>
      <c r="S209" s="25">
        <v>2.321054961866412</v>
      </c>
      <c r="T209" s="25">
        <v>43.0709993017978</v>
      </c>
      <c r="U209" s="22">
        <v>31</v>
      </c>
      <c r="V209" s="3">
        <v>444724</v>
      </c>
      <c r="W209" s="3">
        <v>4768923</v>
      </c>
      <c r="X209" s="25">
        <v>-0.017258599128896737</v>
      </c>
      <c r="Y209" s="25">
        <v>47.856664459714615</v>
      </c>
      <c r="Z209" s="18"/>
      <c r="AA209" s="7" t="s">
        <v>5176</v>
      </c>
      <c r="AB209" s="8">
        <v>2019</v>
      </c>
      <c r="AC209" s="60">
        <v>43525</v>
      </c>
      <c r="AD209" s="19"/>
      <c r="AE209" s="31" t="s">
        <v>6858</v>
      </c>
    </row>
    <row r="210" spans="1:31" ht="12.75">
      <c r="A210" s="4" t="s">
        <v>6859</v>
      </c>
      <c r="B210" s="1" t="s">
        <v>5262</v>
      </c>
      <c r="C210" s="1" t="s">
        <v>6860</v>
      </c>
      <c r="D210" s="1" t="s">
        <v>6860</v>
      </c>
      <c r="E210" s="2">
        <v>264</v>
      </c>
      <c r="F210" s="2">
        <v>72</v>
      </c>
      <c r="G210" s="3" t="s">
        <v>4021</v>
      </c>
      <c r="H210" s="3" t="s">
        <v>6861</v>
      </c>
      <c r="I210" s="3" t="s">
        <v>6862</v>
      </c>
      <c r="J210" s="44" t="str">
        <f>HYPERLINK("https://www.centcols.org/util/geo/visuGen.php?code=FR-11-0264","FR-11-0264")</f>
        <v>FR-11-0264</v>
      </c>
      <c r="K210" s="3"/>
      <c r="L210" s="1" t="s">
        <v>5138</v>
      </c>
      <c r="M210" s="8">
        <v>35</v>
      </c>
      <c r="N210" s="8">
        <v>10</v>
      </c>
      <c r="O210" s="4"/>
      <c r="P210" s="3"/>
      <c r="Q210" s="3" t="s">
        <v>6863</v>
      </c>
      <c r="R210" s="3" t="s">
        <v>6864</v>
      </c>
      <c r="S210" s="25">
        <v>2.5758185036889</v>
      </c>
      <c r="T210" s="25">
        <v>43.078460336965236</v>
      </c>
      <c r="U210" s="2">
        <v>31</v>
      </c>
      <c r="V210" s="3">
        <v>465470</v>
      </c>
      <c r="W210" s="3">
        <v>4769615</v>
      </c>
      <c r="X210" s="25">
        <v>0.2658053495302497</v>
      </c>
      <c r="Y210" s="25">
        <v>47.86495345650395</v>
      </c>
      <c r="Z210" s="6"/>
      <c r="AA210" s="7" t="s">
        <v>5138</v>
      </c>
      <c r="AB210" s="8" t="s">
        <v>5571</v>
      </c>
      <c r="AC210" s="9">
        <v>41283</v>
      </c>
      <c r="AD210" s="10">
        <v>13</v>
      </c>
      <c r="AE210" s="31" t="s">
        <v>6865</v>
      </c>
    </row>
    <row r="211" spans="1:31" ht="12.75">
      <c r="A211" s="4" t="s">
        <v>6866</v>
      </c>
      <c r="B211" s="1" t="s">
        <v>4061</v>
      </c>
      <c r="C211" s="1" t="s">
        <v>6867</v>
      </c>
      <c r="D211" s="1" t="s">
        <v>6868</v>
      </c>
      <c r="E211" s="2">
        <v>276</v>
      </c>
      <c r="F211" s="2">
        <v>72</v>
      </c>
      <c r="G211" s="3" t="s">
        <v>4055</v>
      </c>
      <c r="H211" s="3" t="s">
        <v>6869</v>
      </c>
      <c r="I211" s="3" t="s">
        <v>6870</v>
      </c>
      <c r="J211" s="44" t="str">
        <f>HYPERLINK("https://www.centcols.org/util/geo/visuGen.php?code=FR-11-0276","FR-11-0276")</f>
        <v>FR-11-0276</v>
      </c>
      <c r="K211" s="3"/>
      <c r="L211" s="1"/>
      <c r="M211" s="8">
        <v>99</v>
      </c>
      <c r="N211" s="8">
        <v>20</v>
      </c>
      <c r="O211" s="4"/>
      <c r="P211" s="3"/>
      <c r="Q211" s="3" t="s">
        <v>6871</v>
      </c>
      <c r="R211" s="3" t="s">
        <v>6872</v>
      </c>
      <c r="S211" s="25">
        <v>2.7611478267564324</v>
      </c>
      <c r="T211" s="25">
        <v>43.00979834255399</v>
      </c>
      <c r="U211" s="2">
        <v>31</v>
      </c>
      <c r="V211" s="3">
        <v>480535</v>
      </c>
      <c r="W211" s="3">
        <v>4761931</v>
      </c>
      <c r="X211" s="25">
        <v>0.4717177904946899</v>
      </c>
      <c r="Y211" s="25">
        <v>47.78865659390112</v>
      </c>
      <c r="Z211" s="6"/>
      <c r="AA211" s="7" t="s">
        <v>5138</v>
      </c>
      <c r="AB211" s="8">
        <v>2007</v>
      </c>
      <c r="AC211" s="9"/>
      <c r="AD211" s="10">
        <v>1</v>
      </c>
      <c r="AE211" s="31" t="s">
        <v>6873</v>
      </c>
    </row>
    <row r="212" spans="1:31" ht="12.75">
      <c r="A212" s="18" t="s">
        <v>6874</v>
      </c>
      <c r="B212" s="20" t="s">
        <v>6875</v>
      </c>
      <c r="C212" s="20" t="s">
        <v>6876</v>
      </c>
      <c r="D212" s="20" t="s">
        <v>6877</v>
      </c>
      <c r="E212" s="19">
        <v>315</v>
      </c>
      <c r="F212" s="14">
        <v>72</v>
      </c>
      <c r="G212" s="19" t="s">
        <v>6878</v>
      </c>
      <c r="H212" s="19" t="s">
        <v>6879</v>
      </c>
      <c r="I212" s="19" t="s">
        <v>6880</v>
      </c>
      <c r="J212" s="44" t="str">
        <f>HYPERLINK("https://www.centcols.org/util/geo/visuGen.php?code=FR-11-0315b","FR-11-0315b")</f>
        <v>FR-11-0315b</v>
      </c>
      <c r="K212" s="19"/>
      <c r="L212" s="20" t="s">
        <v>5257</v>
      </c>
      <c r="M212" s="19">
        <v>1</v>
      </c>
      <c r="N212" s="19">
        <v>10</v>
      </c>
      <c r="O212" s="18"/>
      <c r="P212" s="19"/>
      <c r="Q212" s="19" t="s">
        <v>6881</v>
      </c>
      <c r="R212" s="19" t="s">
        <v>6882</v>
      </c>
      <c r="S212" s="59">
        <v>2.516906</v>
      </c>
      <c r="T212" s="59">
        <v>43.012005</v>
      </c>
      <c r="U212" s="19">
        <v>31</v>
      </c>
      <c r="V212" s="3">
        <v>460631</v>
      </c>
      <c r="W212" s="3">
        <v>4762261</v>
      </c>
      <c r="X212" s="59">
        <v>0.200347</v>
      </c>
      <c r="Y212" s="59">
        <v>47.791112</v>
      </c>
      <c r="Z212" s="18"/>
      <c r="AA212" s="19" t="s">
        <v>5138</v>
      </c>
      <c r="AB212" s="11">
        <v>2018</v>
      </c>
      <c r="AC212" s="12">
        <v>43250</v>
      </c>
      <c r="AD212" s="54"/>
      <c r="AE212" s="23" t="s">
        <v>6883</v>
      </c>
    </row>
    <row r="213" spans="1:31" ht="12.75">
      <c r="A213" s="50" t="s">
        <v>6884</v>
      </c>
      <c r="B213" s="62" t="s">
        <v>5815</v>
      </c>
      <c r="C213" s="62" t="s">
        <v>6885</v>
      </c>
      <c r="D213" s="62" t="s">
        <v>6886</v>
      </c>
      <c r="E213" s="24">
        <v>315</v>
      </c>
      <c r="F213" s="24">
        <v>72</v>
      </c>
      <c r="G213" s="24" t="s">
        <v>6887</v>
      </c>
      <c r="H213" s="24" t="s">
        <v>6888</v>
      </c>
      <c r="I213" s="24" t="s">
        <v>6889</v>
      </c>
      <c r="J213" s="44" t="str">
        <f>HYPERLINK("https://www.centcols.org/util/geo/visuGen.php?code=FR-11-0315c","FR-11-0315c")</f>
        <v>FR-11-0315c</v>
      </c>
      <c r="K213" s="19"/>
      <c r="L213" s="20"/>
      <c r="M213" s="24">
        <v>99</v>
      </c>
      <c r="N213" s="24">
        <v>20</v>
      </c>
      <c r="O213" s="18"/>
      <c r="P213" s="19"/>
      <c r="Q213" s="24" t="s">
        <v>6890</v>
      </c>
      <c r="R213" s="24" t="s">
        <v>6951</v>
      </c>
      <c r="S213" s="25">
        <v>2.32092</v>
      </c>
      <c r="T213" s="25">
        <v>42.951108</v>
      </c>
      <c r="U213" s="24">
        <v>31</v>
      </c>
      <c r="V213" s="3">
        <v>444605</v>
      </c>
      <c r="W213" s="3">
        <v>4755609</v>
      </c>
      <c r="X213" s="25">
        <v>-0.017411</v>
      </c>
      <c r="Y213" s="25">
        <v>47.723448</v>
      </c>
      <c r="Z213" s="18"/>
      <c r="AA213" s="19" t="s">
        <v>5138</v>
      </c>
      <c r="AB213" s="11">
        <v>2019</v>
      </c>
      <c r="AC213" s="60">
        <v>43525</v>
      </c>
      <c r="AD213" s="54"/>
      <c r="AE213" s="61" t="s">
        <v>6891</v>
      </c>
    </row>
    <row r="214" spans="1:31" ht="12.75">
      <c r="A214" s="50" t="s">
        <v>6892</v>
      </c>
      <c r="B214" s="62" t="s">
        <v>5128</v>
      </c>
      <c r="C214" s="62" t="s">
        <v>6893</v>
      </c>
      <c r="D214" s="62" t="s">
        <v>6894</v>
      </c>
      <c r="E214" s="24">
        <v>318</v>
      </c>
      <c r="F214" s="24">
        <v>72</v>
      </c>
      <c r="G214" s="24" t="s">
        <v>6887</v>
      </c>
      <c r="H214" s="24" t="s">
        <v>6895</v>
      </c>
      <c r="I214" s="24" t="s">
        <v>6896</v>
      </c>
      <c r="J214" s="44" t="str">
        <f>HYPERLINK("https://www.centcols.org/util/geo/visuGen.php?code=FR-11-0318","FR-11-0318")</f>
        <v>FR-11-0318</v>
      </c>
      <c r="K214" s="19"/>
      <c r="L214" s="62" t="s">
        <v>5257</v>
      </c>
      <c r="M214" s="24">
        <v>1</v>
      </c>
      <c r="N214" s="24">
        <v>10</v>
      </c>
      <c r="O214" s="18"/>
      <c r="P214" s="19"/>
      <c r="Q214" s="24" t="s">
        <v>4117</v>
      </c>
      <c r="R214" s="24" t="s">
        <v>6952</v>
      </c>
      <c r="S214" s="25">
        <v>2.313968</v>
      </c>
      <c r="T214" s="25">
        <v>42.945283</v>
      </c>
      <c r="U214" s="24">
        <v>31</v>
      </c>
      <c r="V214" s="3">
        <v>444033</v>
      </c>
      <c r="W214" s="3">
        <v>4754967</v>
      </c>
      <c r="X214" s="25">
        <v>-0.025136</v>
      </c>
      <c r="Y214" s="25">
        <v>47.716976</v>
      </c>
      <c r="Z214" s="18"/>
      <c r="AA214" s="19" t="s">
        <v>5138</v>
      </c>
      <c r="AB214" s="11">
        <v>2019</v>
      </c>
      <c r="AC214" s="60">
        <v>43525</v>
      </c>
      <c r="AD214" s="54"/>
      <c r="AE214" s="61" t="s">
        <v>6891</v>
      </c>
    </row>
    <row r="215" spans="1:31" ht="12.75">
      <c r="A215" s="4" t="s">
        <v>4118</v>
      </c>
      <c r="B215" s="1" t="s">
        <v>5128</v>
      </c>
      <c r="C215" s="1" t="s">
        <v>4119</v>
      </c>
      <c r="D215" s="1" t="s">
        <v>4120</v>
      </c>
      <c r="E215" s="2">
        <v>324</v>
      </c>
      <c r="F215" s="2">
        <v>64</v>
      </c>
      <c r="G215" s="3" t="s">
        <v>4121</v>
      </c>
      <c r="H215" s="3" t="s">
        <v>4122</v>
      </c>
      <c r="I215" s="3" t="s">
        <v>4123</v>
      </c>
      <c r="J215" s="44" t="str">
        <f>HYPERLINK("https://www.centcols.org/util/geo/visuGen.php?code=FR-11-0324","FR-11-0324")</f>
        <v>FR-11-0324</v>
      </c>
      <c r="K215" s="3" t="s">
        <v>4124</v>
      </c>
      <c r="L215" s="1" t="s">
        <v>4125</v>
      </c>
      <c r="M215" s="8">
        <v>0</v>
      </c>
      <c r="N215" s="8">
        <v>0</v>
      </c>
      <c r="O215" s="4"/>
      <c r="P215" s="3"/>
      <c r="Q215" s="3" t="s">
        <v>4126</v>
      </c>
      <c r="R215" s="3" t="s">
        <v>4127</v>
      </c>
      <c r="S215" s="25">
        <v>1.8389315693391015</v>
      </c>
      <c r="T215" s="25">
        <v>43.22934045245079</v>
      </c>
      <c r="U215" s="2">
        <v>31</v>
      </c>
      <c r="V215" s="3">
        <v>405716</v>
      </c>
      <c r="W215" s="3">
        <v>4786938</v>
      </c>
      <c r="X215" s="25">
        <v>-0.5529252379888006</v>
      </c>
      <c r="Y215" s="25">
        <v>48.03260904393765</v>
      </c>
      <c r="Z215" s="6"/>
      <c r="AA215" s="7" t="s">
        <v>5138</v>
      </c>
      <c r="AB215" s="8">
        <v>2005</v>
      </c>
      <c r="AC215" s="9"/>
      <c r="AD215" s="10">
        <v>1</v>
      </c>
      <c r="AE215" s="31" t="s">
        <v>4128</v>
      </c>
    </row>
    <row r="216" spans="1:31" ht="12.75">
      <c r="A216" s="4" t="s">
        <v>4129</v>
      </c>
      <c r="B216" s="1" t="s">
        <v>5731</v>
      </c>
      <c r="C216" s="1" t="s">
        <v>4130</v>
      </c>
      <c r="D216" s="1" t="s">
        <v>4131</v>
      </c>
      <c r="E216" s="2">
        <v>325</v>
      </c>
      <c r="F216" s="2">
        <v>72</v>
      </c>
      <c r="G216" s="3" t="s">
        <v>4094</v>
      </c>
      <c r="H216" s="3" t="s">
        <v>4132</v>
      </c>
      <c r="I216" s="3" t="s">
        <v>4133</v>
      </c>
      <c r="J216" s="44" t="str">
        <f>HYPERLINK("https://www.centcols.org/util/geo/visuGen.php?code=FR-11-0325","FR-11-0325")</f>
        <v>FR-11-0325</v>
      </c>
      <c r="K216" s="3"/>
      <c r="L216" s="1"/>
      <c r="M216" s="8">
        <v>99</v>
      </c>
      <c r="N216" s="8">
        <v>20</v>
      </c>
      <c r="O216" s="4"/>
      <c r="P216" s="3"/>
      <c r="Q216" s="3" t="s">
        <v>4134</v>
      </c>
      <c r="R216" s="3" t="s">
        <v>4135</v>
      </c>
      <c r="S216" s="25">
        <v>2.484408</v>
      </c>
      <c r="T216" s="25">
        <v>43.02025</v>
      </c>
      <c r="U216" s="2">
        <v>31</v>
      </c>
      <c r="V216" s="3">
        <v>457989</v>
      </c>
      <c r="W216" s="3">
        <v>4763193</v>
      </c>
      <c r="X216" s="25">
        <v>0.164238</v>
      </c>
      <c r="Y216" s="25">
        <v>47.8</v>
      </c>
      <c r="Z216" s="6"/>
      <c r="AA216" s="7" t="s">
        <v>5138</v>
      </c>
      <c r="AB216" s="8">
        <v>2011</v>
      </c>
      <c r="AC216" s="9"/>
      <c r="AD216" s="10">
        <v>1</v>
      </c>
      <c r="AE216" s="31" t="s">
        <v>4136</v>
      </c>
    </row>
    <row r="217" spans="1:31" ht="12.75">
      <c r="A217" s="4" t="s">
        <v>4137</v>
      </c>
      <c r="B217" s="1" t="s">
        <v>5589</v>
      </c>
      <c r="C217" s="1" t="s">
        <v>4138</v>
      </c>
      <c r="D217" s="1" t="s">
        <v>5797</v>
      </c>
      <c r="E217" s="2">
        <v>330</v>
      </c>
      <c r="F217" s="2">
        <v>71</v>
      </c>
      <c r="G217" s="3" t="s">
        <v>4139</v>
      </c>
      <c r="H217" s="3" t="s">
        <v>4140</v>
      </c>
      <c r="I217" s="3" t="s">
        <v>4141</v>
      </c>
      <c r="J217" s="44" t="str">
        <f>HYPERLINK("https://www.centcols.org/util/geo/visuGen.php?code=FR-11-0330","FR-11-0330")</f>
        <v>FR-11-0330</v>
      </c>
      <c r="K217" s="3" t="s">
        <v>4142</v>
      </c>
      <c r="L217" s="1" t="s">
        <v>4143</v>
      </c>
      <c r="M217" s="8">
        <v>0</v>
      </c>
      <c r="N217" s="8">
        <v>0</v>
      </c>
      <c r="O217" s="4"/>
      <c r="P217" s="3"/>
      <c r="Q217" s="3" t="s">
        <v>4144</v>
      </c>
      <c r="R217" s="3" t="s">
        <v>4145</v>
      </c>
      <c r="S217" s="25">
        <v>2.07597040234839</v>
      </c>
      <c r="T217" s="25">
        <v>43.05900228161553</v>
      </c>
      <c r="U217" s="2">
        <v>31</v>
      </c>
      <c r="V217" s="3">
        <v>424756</v>
      </c>
      <c r="W217" s="3">
        <v>4767781</v>
      </c>
      <c r="X217" s="25">
        <v>-0.2895648834624303</v>
      </c>
      <c r="Y217" s="25">
        <v>47.843337233208395</v>
      </c>
      <c r="Z217" s="6"/>
      <c r="AA217" s="7" t="s">
        <v>5138</v>
      </c>
      <c r="AB217" s="8" t="s">
        <v>5571</v>
      </c>
      <c r="AC217" s="9">
        <v>41318</v>
      </c>
      <c r="AD217" s="10">
        <v>27</v>
      </c>
      <c r="AE217" s="31" t="s">
        <v>4146</v>
      </c>
    </row>
    <row r="218" spans="1:31" ht="12.75">
      <c r="A218" s="4" t="s">
        <v>4147</v>
      </c>
      <c r="B218" s="1" t="s">
        <v>4148</v>
      </c>
      <c r="C218" s="1" t="s">
        <v>4149</v>
      </c>
      <c r="D218" s="1" t="s">
        <v>4150</v>
      </c>
      <c r="E218" s="2">
        <v>335</v>
      </c>
      <c r="F218" s="2">
        <v>72</v>
      </c>
      <c r="G218" s="3" t="s">
        <v>4055</v>
      </c>
      <c r="H218" s="3" t="s">
        <v>4151</v>
      </c>
      <c r="I218" s="3" t="s">
        <v>4152</v>
      </c>
      <c r="J218" s="44" t="str">
        <f>HYPERLINK("https://www.centcols.org/util/geo/visuGen.php?code=FR-11-0335","FR-11-0335")</f>
        <v>FR-11-0335</v>
      </c>
      <c r="K218" s="3"/>
      <c r="L218" s="1"/>
      <c r="M218" s="8">
        <v>99</v>
      </c>
      <c r="N218" s="8">
        <v>20</v>
      </c>
      <c r="O218" s="4"/>
      <c r="P218" s="3"/>
      <c r="Q218" s="3" t="s">
        <v>4153</v>
      </c>
      <c r="R218" s="3" t="s">
        <v>4154</v>
      </c>
      <c r="S218" s="25">
        <v>2.839164</v>
      </c>
      <c r="T218" s="25">
        <v>42.935048</v>
      </c>
      <c r="U218" s="2">
        <v>31</v>
      </c>
      <c r="V218" s="3">
        <v>486877</v>
      </c>
      <c r="W218" s="3">
        <v>4753615</v>
      </c>
      <c r="X218" s="25">
        <v>0.5583982233479688</v>
      </c>
      <c r="Y218" s="25">
        <v>47.705596831208524</v>
      </c>
      <c r="Z218" s="6"/>
      <c r="AA218" s="7" t="s">
        <v>5138</v>
      </c>
      <c r="AB218" s="8">
        <v>2015</v>
      </c>
      <c r="AC218" s="9"/>
      <c r="AD218" s="10"/>
      <c r="AE218" s="31" t="s">
        <v>4155</v>
      </c>
    </row>
    <row r="219" spans="1:31" ht="12.75">
      <c r="A219" s="4" t="s">
        <v>4156</v>
      </c>
      <c r="B219" s="1" t="s">
        <v>4157</v>
      </c>
      <c r="C219" s="1" t="s">
        <v>4158</v>
      </c>
      <c r="D219" s="1" t="s">
        <v>4159</v>
      </c>
      <c r="E219" s="2">
        <v>365</v>
      </c>
      <c r="F219" s="2">
        <v>71</v>
      </c>
      <c r="G219" s="3" t="s">
        <v>4139</v>
      </c>
      <c r="H219" s="3" t="s">
        <v>4160</v>
      </c>
      <c r="I219" s="3" t="s">
        <v>4161</v>
      </c>
      <c r="J219" s="44" t="str">
        <f>HYPERLINK("https://www.centcols.org/util/geo/visuGen.php?code=FR-11-0365a","FR-11-0365a")</f>
        <v>FR-11-0365a</v>
      </c>
      <c r="K219" s="3"/>
      <c r="L219" s="1"/>
      <c r="M219" s="8">
        <v>99</v>
      </c>
      <c r="N219" s="8">
        <v>20</v>
      </c>
      <c r="O219" s="4"/>
      <c r="P219" s="3"/>
      <c r="Q219" s="3" t="s">
        <v>4162</v>
      </c>
      <c r="R219" s="3" t="s">
        <v>4163</v>
      </c>
      <c r="S219" s="25">
        <v>2.015971</v>
      </c>
      <c r="T219" s="25">
        <v>43.09408</v>
      </c>
      <c r="U219" s="2">
        <v>31</v>
      </c>
      <c r="V219" s="3">
        <v>419916</v>
      </c>
      <c r="W219" s="3">
        <v>4771732</v>
      </c>
      <c r="X219" s="25">
        <v>-0.356227</v>
      </c>
      <c r="Y219" s="25">
        <v>47.882315</v>
      </c>
      <c r="Z219" s="6"/>
      <c r="AA219" s="7" t="s">
        <v>5138</v>
      </c>
      <c r="AB219" s="8">
        <v>2016</v>
      </c>
      <c r="AC219" s="9">
        <v>42593</v>
      </c>
      <c r="AD219" s="10"/>
      <c r="AE219" s="31" t="s">
        <v>5739</v>
      </c>
    </row>
    <row r="220" spans="1:31" ht="12.75">
      <c r="A220" s="18" t="s">
        <v>4164</v>
      </c>
      <c r="B220" s="20" t="s">
        <v>5667</v>
      </c>
      <c r="C220" s="20" t="s">
        <v>4165</v>
      </c>
      <c r="D220" s="20" t="s">
        <v>4166</v>
      </c>
      <c r="E220" s="19">
        <v>380</v>
      </c>
      <c r="F220" s="14">
        <v>71</v>
      </c>
      <c r="G220" s="19" t="s">
        <v>4139</v>
      </c>
      <c r="H220" s="19" t="s">
        <v>4167</v>
      </c>
      <c r="I220" s="19" t="s">
        <v>4168</v>
      </c>
      <c r="J220" s="44" t="str">
        <f>HYPERLINK("https://www.centcols.org/util/geo/visuGen.php?code=FR-11-0380","FR-11-0380")</f>
        <v>FR-11-0380</v>
      </c>
      <c r="K220" s="19" t="s">
        <v>4169</v>
      </c>
      <c r="L220" s="20" t="s">
        <v>4170</v>
      </c>
      <c r="M220" s="19">
        <v>0</v>
      </c>
      <c r="N220" s="19">
        <v>0</v>
      </c>
      <c r="O220" s="18"/>
      <c r="P220" s="19"/>
      <c r="Q220" s="19" t="s">
        <v>4171</v>
      </c>
      <c r="R220" s="19" t="s">
        <v>4172</v>
      </c>
      <c r="S220" s="59">
        <v>2.000459</v>
      </c>
      <c r="T220" s="59">
        <v>43.120024</v>
      </c>
      <c r="U220" s="19">
        <v>31</v>
      </c>
      <c r="V220" s="3">
        <v>418688</v>
      </c>
      <c r="W220" s="3">
        <v>4774628</v>
      </c>
      <c r="X220" s="59">
        <v>-0.373461</v>
      </c>
      <c r="Y220" s="59">
        <v>47.911142</v>
      </c>
      <c r="Z220" s="18"/>
      <c r="AA220" s="19" t="s">
        <v>5138</v>
      </c>
      <c r="AB220" s="11">
        <v>2018</v>
      </c>
      <c r="AC220" s="12">
        <v>43250</v>
      </c>
      <c r="AD220" s="54"/>
      <c r="AE220" s="23" t="s">
        <v>5149</v>
      </c>
    </row>
    <row r="221" spans="1:31" ht="12.75">
      <c r="A221" s="18" t="s">
        <v>4173</v>
      </c>
      <c r="B221" s="20" t="s">
        <v>5534</v>
      </c>
      <c r="C221" s="20" t="s">
        <v>4174</v>
      </c>
      <c r="D221" s="20" t="s">
        <v>4175</v>
      </c>
      <c r="E221" s="19">
        <v>415</v>
      </c>
      <c r="F221" s="19">
        <v>72</v>
      </c>
      <c r="G221" s="19" t="s">
        <v>6887</v>
      </c>
      <c r="H221" s="19" t="s">
        <v>4176</v>
      </c>
      <c r="I221" s="19" t="s">
        <v>4177</v>
      </c>
      <c r="J221" s="44" t="str">
        <f>HYPERLINK("https://www.centcols.org/util/geo/visuGen.php?code=FR-11-0415a","FR-11-0415a")</f>
        <v>FR-11-0415a</v>
      </c>
      <c r="K221" s="19"/>
      <c r="L221" s="20"/>
      <c r="M221" s="19">
        <v>99</v>
      </c>
      <c r="N221" s="19">
        <v>20</v>
      </c>
      <c r="O221" s="18"/>
      <c r="P221" s="19"/>
      <c r="Q221" s="19" t="s">
        <v>4178</v>
      </c>
      <c r="R221" s="19" t="s">
        <v>6953</v>
      </c>
      <c r="S221" s="59">
        <v>2.306914</v>
      </c>
      <c r="T221" s="59">
        <v>42.948945</v>
      </c>
      <c r="U221" s="19">
        <v>31</v>
      </c>
      <c r="V221" s="3">
        <v>443461</v>
      </c>
      <c r="W221" s="3">
        <v>4755378</v>
      </c>
      <c r="X221" s="59">
        <v>-0.032974</v>
      </c>
      <c r="Y221" s="59">
        <v>47.721045</v>
      </c>
      <c r="Z221" s="18"/>
      <c r="AA221" s="19" t="s">
        <v>5138</v>
      </c>
      <c r="AB221" s="11">
        <v>2019</v>
      </c>
      <c r="AC221" s="60">
        <v>43525</v>
      </c>
      <c r="AD221" s="54"/>
      <c r="AE221" s="61" t="s">
        <v>4179</v>
      </c>
    </row>
    <row r="222" spans="1:31" ht="12.75">
      <c r="A222" s="4" t="s">
        <v>4180</v>
      </c>
      <c r="B222" s="1" t="s">
        <v>5704</v>
      </c>
      <c r="C222" s="1" t="s">
        <v>4181</v>
      </c>
      <c r="D222" s="1" t="s">
        <v>4182</v>
      </c>
      <c r="E222" s="2">
        <v>425</v>
      </c>
      <c r="F222" s="2">
        <v>72</v>
      </c>
      <c r="G222" s="3" t="s">
        <v>4021</v>
      </c>
      <c r="H222" s="3" t="s">
        <v>4183</v>
      </c>
      <c r="I222" s="3" t="s">
        <v>4184</v>
      </c>
      <c r="J222" s="44" t="str">
        <f>HYPERLINK("https://www.centcols.org/util/geo/visuGen.php?code=FR-11-0425","FR-11-0425")</f>
        <v>FR-11-0425</v>
      </c>
      <c r="K222" s="3"/>
      <c r="L222" s="1" t="s">
        <v>4185</v>
      </c>
      <c r="M222" s="8">
        <v>40</v>
      </c>
      <c r="N222" s="8">
        <v>15</v>
      </c>
      <c r="O222" s="4"/>
      <c r="P222" s="3"/>
      <c r="Q222" s="3" t="s">
        <v>4186</v>
      </c>
      <c r="R222" s="3" t="s">
        <v>4187</v>
      </c>
      <c r="S222" s="25">
        <v>2.524575</v>
      </c>
      <c r="T222" s="25">
        <v>43.029356</v>
      </c>
      <c r="U222" s="2">
        <v>31</v>
      </c>
      <c r="V222" s="3">
        <v>461267</v>
      </c>
      <c r="W222" s="3">
        <v>4764184</v>
      </c>
      <c r="X222" s="25">
        <v>0.208868</v>
      </c>
      <c r="Y222" s="25">
        <v>47.810391</v>
      </c>
      <c r="Z222" s="6"/>
      <c r="AA222" s="7" t="s">
        <v>5176</v>
      </c>
      <c r="AB222" s="8" t="s">
        <v>5571</v>
      </c>
      <c r="AC222" s="9">
        <v>41226</v>
      </c>
      <c r="AD222" s="10">
        <v>2</v>
      </c>
      <c r="AE222" s="31" t="s">
        <v>5269</v>
      </c>
    </row>
    <row r="223" spans="1:31" ht="12.75">
      <c r="A223" s="4" t="s">
        <v>4188</v>
      </c>
      <c r="B223" s="1" t="s">
        <v>5731</v>
      </c>
      <c r="C223" s="1" t="s">
        <v>4189</v>
      </c>
      <c r="D223" s="1" t="s">
        <v>4190</v>
      </c>
      <c r="E223" s="2">
        <v>449</v>
      </c>
      <c r="F223" s="2">
        <v>72</v>
      </c>
      <c r="G223" s="3" t="s">
        <v>6887</v>
      </c>
      <c r="H223" s="3" t="s">
        <v>4191</v>
      </c>
      <c r="I223" s="3" t="s">
        <v>4192</v>
      </c>
      <c r="J223" s="44" t="str">
        <f>HYPERLINK("https://www.centcols.org/util/geo/visuGen.php?code=FR-11-0449","FR-11-0449")</f>
        <v>FR-11-0449</v>
      </c>
      <c r="K223" s="3" t="s">
        <v>4193</v>
      </c>
      <c r="L223" s="1" t="s">
        <v>5157</v>
      </c>
      <c r="M223" s="8">
        <v>0</v>
      </c>
      <c r="N223" s="8">
        <v>0</v>
      </c>
      <c r="O223" s="4"/>
      <c r="P223" s="3"/>
      <c r="Q223" s="3" t="s">
        <v>4194</v>
      </c>
      <c r="R223" s="3" t="s">
        <v>4195</v>
      </c>
      <c r="S223" s="25">
        <v>2.298246</v>
      </c>
      <c r="T223" s="25">
        <v>42.899113</v>
      </c>
      <c r="U223" s="2">
        <v>31</v>
      </c>
      <c r="V223" s="3">
        <v>442708</v>
      </c>
      <c r="W223" s="3">
        <v>4749850</v>
      </c>
      <c r="X223" s="25">
        <v>-0.042605</v>
      </c>
      <c r="Y223" s="25">
        <v>47.665674</v>
      </c>
      <c r="Z223" s="6"/>
      <c r="AA223" s="7" t="s">
        <v>5176</v>
      </c>
      <c r="AB223" s="8" t="s">
        <v>5711</v>
      </c>
      <c r="AC223" s="9"/>
      <c r="AD223" s="10">
        <v>1</v>
      </c>
      <c r="AE223" s="31" t="s">
        <v>4196</v>
      </c>
    </row>
    <row r="224" spans="1:31" ht="12.75">
      <c r="A224" s="4" t="s">
        <v>4197</v>
      </c>
      <c r="B224" s="1" t="s">
        <v>4198</v>
      </c>
      <c r="C224" s="1" t="s">
        <v>4199</v>
      </c>
      <c r="D224" s="1" t="s">
        <v>4200</v>
      </c>
      <c r="E224" s="2">
        <v>459</v>
      </c>
      <c r="F224" s="2">
        <v>71</v>
      </c>
      <c r="G224" s="3" t="s">
        <v>4139</v>
      </c>
      <c r="H224" s="3" t="s">
        <v>4201</v>
      </c>
      <c r="I224" s="3" t="s">
        <v>4202</v>
      </c>
      <c r="J224" s="44" t="str">
        <f>HYPERLINK("https://www.centcols.org/util/geo/visuGen.php?code=FR-11-0459","FR-11-0459")</f>
        <v>FR-11-0459</v>
      </c>
      <c r="K224" s="3"/>
      <c r="L224" s="1" t="s">
        <v>5138</v>
      </c>
      <c r="M224" s="8">
        <v>35</v>
      </c>
      <c r="N224" s="8">
        <v>10</v>
      </c>
      <c r="O224" s="4"/>
      <c r="P224" s="3"/>
      <c r="Q224" s="3" t="s">
        <v>4203</v>
      </c>
      <c r="R224" s="3" t="s">
        <v>4204</v>
      </c>
      <c r="S224" s="25">
        <v>2.027825</v>
      </c>
      <c r="T224" s="25">
        <v>43.072992</v>
      </c>
      <c r="U224" s="2">
        <v>31</v>
      </c>
      <c r="V224" s="3">
        <v>420853</v>
      </c>
      <c r="W224" s="3">
        <v>4769379</v>
      </c>
      <c r="X224" s="25">
        <v>-0.3430571683950248</v>
      </c>
      <c r="Y224" s="25">
        <v>47.8588824094111</v>
      </c>
      <c r="Z224" s="6"/>
      <c r="AA224" s="7" t="s">
        <v>5138</v>
      </c>
      <c r="AB224" s="8">
        <v>2016</v>
      </c>
      <c r="AC224" s="9">
        <v>42593</v>
      </c>
      <c r="AD224" s="10"/>
      <c r="AE224" s="31" t="s">
        <v>4205</v>
      </c>
    </row>
    <row r="225" spans="1:31" ht="12.75">
      <c r="A225" s="4" t="s">
        <v>4206</v>
      </c>
      <c r="B225" s="1" t="s">
        <v>5534</v>
      </c>
      <c r="C225" s="1" t="s">
        <v>4207</v>
      </c>
      <c r="D225" s="1" t="s">
        <v>4208</v>
      </c>
      <c r="E225" s="2">
        <v>729</v>
      </c>
      <c r="F225" s="2">
        <v>72</v>
      </c>
      <c r="G225" s="3" t="s">
        <v>6887</v>
      </c>
      <c r="H225" s="3" t="s">
        <v>4209</v>
      </c>
      <c r="I225" s="3" t="s">
        <v>4210</v>
      </c>
      <c r="J225" s="44" t="str">
        <f>HYPERLINK("https://www.centcols.org/util/geo/visuGen.php?code=FR-11-0729","FR-11-0729")</f>
        <v>FR-11-0729</v>
      </c>
      <c r="K225" s="3" t="s">
        <v>4211</v>
      </c>
      <c r="L225" s="1" t="s">
        <v>4212</v>
      </c>
      <c r="M225" s="8">
        <v>0</v>
      </c>
      <c r="N225" s="8">
        <v>0</v>
      </c>
      <c r="O225" s="4"/>
      <c r="P225" s="3"/>
      <c r="Q225" s="3" t="s">
        <v>4213</v>
      </c>
      <c r="R225" s="3" t="s">
        <v>4214</v>
      </c>
      <c r="S225" s="25">
        <v>2.304934</v>
      </c>
      <c r="T225" s="25">
        <v>42.857782</v>
      </c>
      <c r="U225" s="2">
        <v>31</v>
      </c>
      <c r="V225" s="3">
        <v>443216</v>
      </c>
      <c r="W225" s="3">
        <v>4745256</v>
      </c>
      <c r="X225" s="25">
        <v>-0.035176</v>
      </c>
      <c r="Y225" s="25">
        <v>47.61975</v>
      </c>
      <c r="Z225" s="6"/>
      <c r="AA225" s="7" t="s">
        <v>5176</v>
      </c>
      <c r="AB225" s="8" t="s">
        <v>5711</v>
      </c>
      <c r="AC225" s="9"/>
      <c r="AD225" s="10">
        <v>1</v>
      </c>
      <c r="AE225" s="31" t="s">
        <v>4215</v>
      </c>
    </row>
    <row r="226" spans="1:31" ht="12.75">
      <c r="A226" s="4" t="s">
        <v>4216</v>
      </c>
      <c r="B226" s="1" t="s">
        <v>5128</v>
      </c>
      <c r="C226" s="1" t="s">
        <v>4217</v>
      </c>
      <c r="D226" s="1" t="s">
        <v>4218</v>
      </c>
      <c r="E226" s="2">
        <v>778</v>
      </c>
      <c r="F226" s="2">
        <v>65</v>
      </c>
      <c r="G226" s="3" t="s">
        <v>4219</v>
      </c>
      <c r="H226" s="3" t="s">
        <v>4220</v>
      </c>
      <c r="I226" s="3" t="s">
        <v>4221</v>
      </c>
      <c r="J226" s="44" t="str">
        <f>HYPERLINK("https://www.centcols.org/util/geo/visuGen.php?code=FR-11-0778","FR-11-0778")</f>
        <v>FR-11-0778</v>
      </c>
      <c r="K226" s="3" t="s">
        <v>4222</v>
      </c>
      <c r="L226" s="1" t="s">
        <v>4223</v>
      </c>
      <c r="M226" s="8">
        <v>0</v>
      </c>
      <c r="N226" s="8">
        <v>0</v>
      </c>
      <c r="O226" s="4"/>
      <c r="P226" s="3"/>
      <c r="Q226" s="3" t="s">
        <v>4224</v>
      </c>
      <c r="R226" s="3" t="s">
        <v>4225</v>
      </c>
      <c r="S226" s="25">
        <v>2.6074207589377685</v>
      </c>
      <c r="T226" s="25">
        <v>43.43669233087038</v>
      </c>
      <c r="U226" s="2">
        <v>31</v>
      </c>
      <c r="V226" s="3">
        <v>468229</v>
      </c>
      <c r="W226" s="3">
        <v>4809385</v>
      </c>
      <c r="X226" s="25">
        <v>0.300922427591942</v>
      </c>
      <c r="Y226" s="25">
        <v>48.26299729071027</v>
      </c>
      <c r="Z226" s="6"/>
      <c r="AA226" s="7" t="s">
        <v>5138</v>
      </c>
      <c r="AB226" s="8">
        <v>2008</v>
      </c>
      <c r="AC226" s="9"/>
      <c r="AD226" s="10">
        <v>1</v>
      </c>
      <c r="AE226" s="31" t="s">
        <v>4226</v>
      </c>
    </row>
    <row r="227" spans="1:31" ht="12.75">
      <c r="A227" s="4" t="s">
        <v>4227</v>
      </c>
      <c r="B227" s="1" t="s">
        <v>4228</v>
      </c>
      <c r="C227" s="1" t="s">
        <v>4229</v>
      </c>
      <c r="D227" s="1" t="s">
        <v>4230</v>
      </c>
      <c r="E227" s="2">
        <v>810</v>
      </c>
      <c r="F227" s="2">
        <v>72</v>
      </c>
      <c r="G227" s="3" t="s">
        <v>4231</v>
      </c>
      <c r="H227" s="3" t="s">
        <v>4232</v>
      </c>
      <c r="I227" s="3" t="s">
        <v>4233</v>
      </c>
      <c r="J227" s="44" t="str">
        <f>HYPERLINK("https://www.centcols.org/util/geo/visuGen.php?code=FR-11-0810","FR-11-0810")</f>
        <v>FR-11-0810</v>
      </c>
      <c r="K227" s="3"/>
      <c r="L227" s="1" t="s">
        <v>5726</v>
      </c>
      <c r="M227" s="8">
        <v>99</v>
      </c>
      <c r="N227" s="8">
        <v>15</v>
      </c>
      <c r="O227" s="4"/>
      <c r="P227" s="3"/>
      <c r="Q227" s="3" t="s">
        <v>4234</v>
      </c>
      <c r="R227" s="3" t="s">
        <v>4235</v>
      </c>
      <c r="S227" s="25">
        <v>2.2260772133781948</v>
      </c>
      <c r="T227" s="25">
        <v>42.74166168624309</v>
      </c>
      <c r="U227" s="2">
        <v>31</v>
      </c>
      <c r="V227" s="3">
        <v>436655</v>
      </c>
      <c r="W227" s="3">
        <v>4732418</v>
      </c>
      <c r="X227" s="25">
        <v>-0.12279306149133278</v>
      </c>
      <c r="Y227" s="25">
        <v>47.49072523820671</v>
      </c>
      <c r="Z227" s="6"/>
      <c r="AA227" s="7" t="s">
        <v>5138</v>
      </c>
      <c r="AB227" s="8">
        <v>2006</v>
      </c>
      <c r="AC227" s="9"/>
      <c r="AD227" s="10">
        <v>1</v>
      </c>
      <c r="AE227" s="31" t="s">
        <v>4236</v>
      </c>
    </row>
    <row r="228" spans="1:31" ht="12.75">
      <c r="A228" s="4" t="s">
        <v>4237</v>
      </c>
      <c r="B228" s="1" t="s">
        <v>4238</v>
      </c>
      <c r="C228" s="1" t="s">
        <v>4239</v>
      </c>
      <c r="D228" s="1" t="s">
        <v>4240</v>
      </c>
      <c r="E228" s="2">
        <v>769</v>
      </c>
      <c r="F228" s="2">
        <v>72</v>
      </c>
      <c r="G228" s="3" t="s">
        <v>4241</v>
      </c>
      <c r="H228" s="3" t="s">
        <v>4242</v>
      </c>
      <c r="I228" s="3" t="s">
        <v>4243</v>
      </c>
      <c r="J228" s="44" t="str">
        <f>HYPERLINK("https://www.centcols.org/util/geo/visuGen.php?code=FR-11-0810a","FR-11-0810a")</f>
        <v>FR-11-0810a</v>
      </c>
      <c r="K228" s="3"/>
      <c r="L228" s="1"/>
      <c r="M228" s="8">
        <v>99</v>
      </c>
      <c r="N228" s="8">
        <v>20</v>
      </c>
      <c r="O228" s="4"/>
      <c r="P228" s="3"/>
      <c r="Q228" s="3" t="s">
        <v>4244</v>
      </c>
      <c r="R228" s="3" t="s">
        <v>4245</v>
      </c>
      <c r="S228" s="25">
        <v>2.4119168878306043</v>
      </c>
      <c r="T228" s="25">
        <v>42.893914791152994</v>
      </c>
      <c r="U228" s="2">
        <v>31</v>
      </c>
      <c r="V228" s="3">
        <v>451984</v>
      </c>
      <c r="W228" s="3">
        <v>4749202</v>
      </c>
      <c r="X228" s="25">
        <v>0.08369143667365338</v>
      </c>
      <c r="Y228" s="25">
        <v>47.65989675435709</v>
      </c>
      <c r="Z228" s="6"/>
      <c r="AA228" s="7" t="s">
        <v>5176</v>
      </c>
      <c r="AB228" s="8" t="s">
        <v>4246</v>
      </c>
      <c r="AC228" s="9"/>
      <c r="AD228" s="10">
        <v>1</v>
      </c>
      <c r="AE228" s="31" t="s">
        <v>4247</v>
      </c>
    </row>
    <row r="229" spans="1:31" ht="12.75">
      <c r="A229" s="4" t="s">
        <v>4248</v>
      </c>
      <c r="B229" s="1" t="s">
        <v>4249</v>
      </c>
      <c r="C229" s="1" t="s">
        <v>4250</v>
      </c>
      <c r="D229" s="1" t="s">
        <v>4251</v>
      </c>
      <c r="E229" s="2">
        <v>835</v>
      </c>
      <c r="F229" s="2">
        <v>64</v>
      </c>
      <c r="G229" s="3" t="s">
        <v>4252</v>
      </c>
      <c r="H229" s="3" t="s">
        <v>4253</v>
      </c>
      <c r="I229" s="3" t="s">
        <v>4254</v>
      </c>
      <c r="J229" s="44" t="str">
        <f>HYPERLINK("https://www.centcols.org/util/geo/visuGen.php?code=FR-11-0835a","FR-11-0835a")</f>
        <v>FR-11-0835a</v>
      </c>
      <c r="K229" s="3" t="s">
        <v>4255</v>
      </c>
      <c r="L229" s="1" t="s">
        <v>4256</v>
      </c>
      <c r="M229" s="8">
        <v>0</v>
      </c>
      <c r="N229" s="8">
        <v>0</v>
      </c>
      <c r="O229" s="4"/>
      <c r="P229" s="3" t="s">
        <v>4257</v>
      </c>
      <c r="Q229" s="3" t="s">
        <v>4258</v>
      </c>
      <c r="R229" s="3" t="s">
        <v>4259</v>
      </c>
      <c r="S229" s="25">
        <v>2.257947</v>
      </c>
      <c r="T229" s="25">
        <v>43.456653</v>
      </c>
      <c r="U229" s="2">
        <v>31</v>
      </c>
      <c r="V229" s="3">
        <v>439966</v>
      </c>
      <c r="W229" s="3">
        <v>4811795</v>
      </c>
      <c r="X229" s="25">
        <v>-0.087367</v>
      </c>
      <c r="Y229" s="25">
        <v>48.285179</v>
      </c>
      <c r="Z229" s="6"/>
      <c r="AA229" s="7" t="s">
        <v>5138</v>
      </c>
      <c r="AB229" s="8">
        <v>2015</v>
      </c>
      <c r="AC229" s="9">
        <v>42045</v>
      </c>
      <c r="AD229" s="10"/>
      <c r="AE229" s="31" t="s">
        <v>4260</v>
      </c>
    </row>
    <row r="230" spans="1:31" ht="12.75">
      <c r="A230" s="4" t="s">
        <v>4261</v>
      </c>
      <c r="B230" s="1" t="s">
        <v>4228</v>
      </c>
      <c r="C230" s="1" t="s">
        <v>4262</v>
      </c>
      <c r="D230" s="1" t="s">
        <v>4263</v>
      </c>
      <c r="E230" s="2">
        <v>899</v>
      </c>
      <c r="F230" s="2">
        <v>72</v>
      </c>
      <c r="G230" s="3" t="s">
        <v>4231</v>
      </c>
      <c r="H230" s="3" t="s">
        <v>4264</v>
      </c>
      <c r="I230" s="3" t="s">
        <v>4265</v>
      </c>
      <c r="J230" s="44" t="str">
        <f>HYPERLINK("https://www.centcols.org/util/geo/visuGen.php?code=FR-11-0899","FR-11-0899")</f>
        <v>FR-11-0899</v>
      </c>
      <c r="K230" s="3"/>
      <c r="L230" s="1" t="s">
        <v>5138</v>
      </c>
      <c r="M230" s="8">
        <v>35</v>
      </c>
      <c r="N230" s="8">
        <v>10</v>
      </c>
      <c r="O230" s="4"/>
      <c r="P230" s="3"/>
      <c r="Q230" s="3" t="s">
        <v>4266</v>
      </c>
      <c r="R230" s="3" t="s">
        <v>4267</v>
      </c>
      <c r="S230" s="25">
        <v>2.2452824710502783</v>
      </c>
      <c r="T230" s="25">
        <v>42.73339494691453</v>
      </c>
      <c r="U230" s="2">
        <v>31</v>
      </c>
      <c r="V230" s="3">
        <v>438219</v>
      </c>
      <c r="W230" s="3">
        <v>4731486</v>
      </c>
      <c r="X230" s="25">
        <v>-0.10145487329458526</v>
      </c>
      <c r="Y230" s="25">
        <v>47.48153942889938</v>
      </c>
      <c r="Z230" s="6"/>
      <c r="AA230" s="7" t="s">
        <v>5138</v>
      </c>
      <c r="AB230" s="8">
        <v>2006</v>
      </c>
      <c r="AC230" s="9"/>
      <c r="AD230" s="10">
        <v>1</v>
      </c>
      <c r="AE230" s="31" t="s">
        <v>4268</v>
      </c>
    </row>
    <row r="231" spans="1:31" ht="12.75">
      <c r="A231" s="4" t="s">
        <v>4269</v>
      </c>
      <c r="B231" s="1" t="s">
        <v>5815</v>
      </c>
      <c r="C231" s="1" t="s">
        <v>4270</v>
      </c>
      <c r="D231" s="1" t="s">
        <v>4271</v>
      </c>
      <c r="E231" s="2">
        <v>929</v>
      </c>
      <c r="F231" s="2">
        <v>71</v>
      </c>
      <c r="G231" s="3" t="s">
        <v>4231</v>
      </c>
      <c r="H231" s="3" t="s">
        <v>4272</v>
      </c>
      <c r="I231" s="3" t="s">
        <v>4273</v>
      </c>
      <c r="J231" s="44" t="str">
        <f>HYPERLINK("https://www.centcols.org/util/geo/visuGen.php?code=FR-11-0929","FR-11-0929")</f>
        <v>FR-11-0929</v>
      </c>
      <c r="K231" s="3" t="s">
        <v>4274</v>
      </c>
      <c r="L231" s="1" t="s">
        <v>4275</v>
      </c>
      <c r="M231" s="8">
        <v>0</v>
      </c>
      <c r="N231" s="8">
        <v>0</v>
      </c>
      <c r="O231" s="4"/>
      <c r="P231" s="3"/>
      <c r="Q231" s="3" t="s">
        <v>4276</v>
      </c>
      <c r="R231" s="3" t="s">
        <v>4277</v>
      </c>
      <c r="S231" s="25">
        <v>2.1774300804833864</v>
      </c>
      <c r="T231" s="25">
        <v>42.81311903371638</v>
      </c>
      <c r="U231" s="2">
        <v>31</v>
      </c>
      <c r="V231" s="3">
        <v>432751</v>
      </c>
      <c r="W231" s="3">
        <v>4740390</v>
      </c>
      <c r="X231" s="25">
        <v>-0.17684161599427117</v>
      </c>
      <c r="Y231" s="25">
        <v>47.57012525608474</v>
      </c>
      <c r="Z231" s="6"/>
      <c r="AA231" s="7" t="s">
        <v>5138</v>
      </c>
      <c r="AB231" s="8">
        <v>2005</v>
      </c>
      <c r="AC231" s="9"/>
      <c r="AD231" s="10">
        <v>1</v>
      </c>
      <c r="AE231" s="31" t="s">
        <v>4128</v>
      </c>
    </row>
    <row r="232" spans="1:31" ht="12.75">
      <c r="A232" s="4" t="s">
        <v>4278</v>
      </c>
      <c r="B232" s="1" t="s">
        <v>4279</v>
      </c>
      <c r="C232" s="1" t="s">
        <v>4280</v>
      </c>
      <c r="D232" s="1" t="s">
        <v>4281</v>
      </c>
      <c r="E232" s="2">
        <v>1015</v>
      </c>
      <c r="F232" s="2">
        <v>71</v>
      </c>
      <c r="G232" s="3" t="s">
        <v>6695</v>
      </c>
      <c r="H232" s="3" t="s">
        <v>4282</v>
      </c>
      <c r="I232" s="3" t="s">
        <v>4283</v>
      </c>
      <c r="J232" s="44" t="str">
        <f>HYPERLINK("https://www.centcols.org/util/geo/visuGen.php?code=FR-11-1015b","FR-11-1015b")</f>
        <v>FR-11-1015b</v>
      </c>
      <c r="K232" s="3"/>
      <c r="L232" s="1" t="s">
        <v>5257</v>
      </c>
      <c r="M232" s="8">
        <v>1</v>
      </c>
      <c r="N232" s="8">
        <v>10</v>
      </c>
      <c r="O232" s="4"/>
      <c r="P232" s="3"/>
      <c r="Q232" s="3" t="s">
        <v>4284</v>
      </c>
      <c r="R232" s="3" t="s">
        <v>4285</v>
      </c>
      <c r="S232" s="25">
        <v>1.956410572989208</v>
      </c>
      <c r="T232" s="25">
        <v>42.833211497018766</v>
      </c>
      <c r="U232" s="2">
        <v>31</v>
      </c>
      <c r="V232" s="3">
        <v>414709</v>
      </c>
      <c r="W232" s="3">
        <v>4742822</v>
      </c>
      <c r="X232" s="25">
        <v>-0.42240735095780296</v>
      </c>
      <c r="Y232" s="25">
        <v>47.592455041609846</v>
      </c>
      <c r="Z232" s="6"/>
      <c r="AA232" s="7" t="s">
        <v>5138</v>
      </c>
      <c r="AB232" s="8" t="s">
        <v>5571</v>
      </c>
      <c r="AC232" s="9">
        <v>41311</v>
      </c>
      <c r="AD232" s="10">
        <v>23</v>
      </c>
      <c r="AE232" s="31" t="s">
        <v>4286</v>
      </c>
    </row>
    <row r="233" spans="1:31" ht="12.75">
      <c r="A233" s="4" t="s">
        <v>4287</v>
      </c>
      <c r="B233" s="1" t="s">
        <v>4288</v>
      </c>
      <c r="C233" s="1" t="s">
        <v>4289</v>
      </c>
      <c r="D233" s="1" t="s">
        <v>4290</v>
      </c>
      <c r="E233" s="2">
        <v>1020</v>
      </c>
      <c r="F233" s="2">
        <v>71</v>
      </c>
      <c r="G233" s="3" t="s">
        <v>6758</v>
      </c>
      <c r="H233" s="3" t="s">
        <v>4291</v>
      </c>
      <c r="I233" s="3" t="s">
        <v>4292</v>
      </c>
      <c r="J233" s="44" t="str">
        <f>HYPERLINK("https://www.centcols.org/util/geo/visuGen.php?code=FR-11-1020a","FR-11-1020a")</f>
        <v>FR-11-1020a</v>
      </c>
      <c r="K233" s="3"/>
      <c r="L233" s="1" t="s">
        <v>5726</v>
      </c>
      <c r="M233" s="8">
        <v>99</v>
      </c>
      <c r="N233" s="8">
        <v>15</v>
      </c>
      <c r="O233" s="4"/>
      <c r="P233" s="3"/>
      <c r="Q233" s="3" t="s">
        <v>4293</v>
      </c>
      <c r="R233" s="3" t="s">
        <v>4294</v>
      </c>
      <c r="S233" s="25">
        <v>2.08036617705605</v>
      </c>
      <c r="T233" s="25">
        <v>42.756479477972604</v>
      </c>
      <c r="U233" s="2">
        <v>31</v>
      </c>
      <c r="V233" s="3">
        <v>424747</v>
      </c>
      <c r="W233" s="3">
        <v>4734183</v>
      </c>
      <c r="X233" s="25">
        <v>-0.2846871338453842</v>
      </c>
      <c r="Y233" s="25">
        <v>47.507192661409825</v>
      </c>
      <c r="Z233" s="6"/>
      <c r="AA233" s="7" t="s">
        <v>5138</v>
      </c>
      <c r="AB233" s="8" t="s">
        <v>5571</v>
      </c>
      <c r="AC233" s="9"/>
      <c r="AD233" s="10">
        <v>1</v>
      </c>
      <c r="AE233" s="31" t="s">
        <v>6701</v>
      </c>
    </row>
    <row r="234" spans="1:31" ht="12.75">
      <c r="A234" s="4" t="s">
        <v>4295</v>
      </c>
      <c r="B234" s="1" t="s">
        <v>5704</v>
      </c>
      <c r="C234" s="1" t="s">
        <v>3901</v>
      </c>
      <c r="D234" s="1" t="s">
        <v>3902</v>
      </c>
      <c r="E234" s="2">
        <v>1100</v>
      </c>
      <c r="F234" s="2">
        <v>71</v>
      </c>
      <c r="G234" s="3" t="s">
        <v>6695</v>
      </c>
      <c r="H234" s="3" t="s">
        <v>4296</v>
      </c>
      <c r="I234" s="3" t="s">
        <v>4297</v>
      </c>
      <c r="J234" s="44" t="str">
        <f>HYPERLINK("https://www.centcols.org/util/geo/visuGen.php?code=FR-11-1315","FR-11-1315")</f>
        <v>FR-11-1315</v>
      </c>
      <c r="K234" s="3"/>
      <c r="L234" s="1"/>
      <c r="M234" s="8">
        <v>99</v>
      </c>
      <c r="N234" s="8">
        <v>20</v>
      </c>
      <c r="O234" s="4"/>
      <c r="P234" s="3"/>
      <c r="Q234" s="3" t="s">
        <v>4298</v>
      </c>
      <c r="R234" s="3" t="s">
        <v>4299</v>
      </c>
      <c r="S234" s="25">
        <v>1.8819431644321603</v>
      </c>
      <c r="T234" s="25">
        <v>42.83637804229226</v>
      </c>
      <c r="U234" s="2">
        <v>31</v>
      </c>
      <c r="V234" s="3">
        <v>408627</v>
      </c>
      <c r="W234" s="3">
        <v>4743251</v>
      </c>
      <c r="X234" s="25">
        <v>-0.5051453957629959</v>
      </c>
      <c r="Y234" s="25">
        <v>47.59597477414</v>
      </c>
      <c r="Z234" s="6"/>
      <c r="AA234" s="7" t="s">
        <v>5176</v>
      </c>
      <c r="AB234" s="8" t="s">
        <v>5802</v>
      </c>
      <c r="AC234" s="9"/>
      <c r="AD234" s="10">
        <v>1</v>
      </c>
      <c r="AE234" s="31" t="s">
        <v>4300</v>
      </c>
    </row>
    <row r="235" spans="1:31" ht="12.75">
      <c r="A235" s="4" t="s">
        <v>4301</v>
      </c>
      <c r="B235" s="1" t="s">
        <v>4302</v>
      </c>
      <c r="C235" s="1" t="s">
        <v>4303</v>
      </c>
      <c r="D235" s="1" t="s">
        <v>4304</v>
      </c>
      <c r="E235" s="2">
        <v>1386</v>
      </c>
      <c r="F235" s="2">
        <v>71</v>
      </c>
      <c r="G235" s="3" t="s">
        <v>6695</v>
      </c>
      <c r="H235" s="3" t="s">
        <v>4305</v>
      </c>
      <c r="I235" s="3" t="s">
        <v>4306</v>
      </c>
      <c r="J235" s="44" t="str">
        <f>HYPERLINK("https://www.centcols.org/util/geo/visuGen.php?code=FR-11-1386","FR-11-1386")</f>
        <v>FR-11-1386</v>
      </c>
      <c r="K235" s="3"/>
      <c r="L235" s="1" t="s">
        <v>5176</v>
      </c>
      <c r="M235" s="8">
        <v>99</v>
      </c>
      <c r="N235" s="8">
        <v>15</v>
      </c>
      <c r="O235" s="4"/>
      <c r="P235" s="3"/>
      <c r="Q235" s="3" t="s">
        <v>4307</v>
      </c>
      <c r="R235" s="3" t="s">
        <v>4308</v>
      </c>
      <c r="S235" s="25">
        <v>1.9735180710502742</v>
      </c>
      <c r="T235" s="25">
        <v>42.79414998879558</v>
      </c>
      <c r="U235" s="2">
        <v>31</v>
      </c>
      <c r="V235" s="3">
        <v>416054</v>
      </c>
      <c r="W235" s="3">
        <v>4738467</v>
      </c>
      <c r="X235" s="25">
        <v>-0.4034007266165745</v>
      </c>
      <c r="Y235" s="25">
        <v>47.54905211490832</v>
      </c>
      <c r="Z235" s="6"/>
      <c r="AA235" s="7" t="s">
        <v>5176</v>
      </c>
      <c r="AB235" s="8" t="s">
        <v>5571</v>
      </c>
      <c r="AC235" s="9">
        <v>41225</v>
      </c>
      <c r="AD235" s="10">
        <v>1</v>
      </c>
      <c r="AE235" s="31" t="s">
        <v>4309</v>
      </c>
    </row>
    <row r="236" spans="1:31" ht="12.75">
      <c r="A236" s="4" t="s">
        <v>4310</v>
      </c>
      <c r="B236" s="1" t="s">
        <v>4311</v>
      </c>
      <c r="C236" s="1" t="s">
        <v>4312</v>
      </c>
      <c r="D236" s="1" t="s">
        <v>4313</v>
      </c>
      <c r="E236" s="2">
        <v>1765</v>
      </c>
      <c r="F236" s="2">
        <v>72</v>
      </c>
      <c r="G236" s="3" t="s">
        <v>4231</v>
      </c>
      <c r="H236" s="3" t="s">
        <v>4314</v>
      </c>
      <c r="I236" s="3" t="s">
        <v>4315</v>
      </c>
      <c r="J236" s="44" t="str">
        <f>HYPERLINK("https://www.centcols.org/util/geo/visuGen.php?code=FR-11-1765","FR-11-1765")</f>
        <v>FR-11-1765</v>
      </c>
      <c r="K236" s="3"/>
      <c r="L236" s="1"/>
      <c r="M236" s="8">
        <v>99</v>
      </c>
      <c r="N236" s="8">
        <v>0</v>
      </c>
      <c r="O236" s="4"/>
      <c r="P236" s="3"/>
      <c r="Q236" s="3" t="s">
        <v>4316</v>
      </c>
      <c r="R236" s="3" t="s">
        <v>4317</v>
      </c>
      <c r="S236" s="25">
        <v>2.257668</v>
      </c>
      <c r="T236" s="25">
        <v>42.699028</v>
      </c>
      <c r="U236" s="2">
        <v>31</v>
      </c>
      <c r="V236" s="3">
        <v>439199</v>
      </c>
      <c r="W236" s="3">
        <v>4727660</v>
      </c>
      <c r="X236" s="25">
        <v>-0.087695</v>
      </c>
      <c r="Y236" s="25">
        <v>47.443353</v>
      </c>
      <c r="Z236" s="6"/>
      <c r="AA236" s="7" t="s">
        <v>5176</v>
      </c>
      <c r="AB236" s="8">
        <v>2017</v>
      </c>
      <c r="AC236" s="9">
        <v>42759</v>
      </c>
      <c r="AD236" s="10"/>
      <c r="AE236" s="31" t="s">
        <v>4318</v>
      </c>
    </row>
    <row r="237" spans="1:31" ht="12.75">
      <c r="A237" s="4" t="s">
        <v>4319</v>
      </c>
      <c r="B237" s="1" t="s">
        <v>4320</v>
      </c>
      <c r="C237" s="1" t="s">
        <v>4321</v>
      </c>
      <c r="D237" s="1" t="s">
        <v>4322</v>
      </c>
      <c r="E237" s="2">
        <v>1821</v>
      </c>
      <c r="F237" s="2">
        <v>71</v>
      </c>
      <c r="G237" s="3" t="s">
        <v>6758</v>
      </c>
      <c r="H237" s="3" t="s">
        <v>4323</v>
      </c>
      <c r="I237" s="3" t="s">
        <v>4324</v>
      </c>
      <c r="J237" s="44" t="str">
        <f>HYPERLINK("https://www.centcols.org/util/geo/visuGen.php?code=FR-11-1806","FR-11-1806")</f>
        <v>FR-11-1806</v>
      </c>
      <c r="K237" s="3"/>
      <c r="L237" s="1"/>
      <c r="M237" s="8">
        <v>99</v>
      </c>
      <c r="N237" s="8">
        <v>0</v>
      </c>
      <c r="O237" s="4"/>
      <c r="P237" s="3"/>
      <c r="Q237" s="3" t="s">
        <v>4325</v>
      </c>
      <c r="R237" s="3" t="s">
        <v>4326</v>
      </c>
      <c r="S237" s="25">
        <v>2.0193744980339345</v>
      </c>
      <c r="T237" s="25">
        <v>42.75087901682734</v>
      </c>
      <c r="U237" s="2">
        <v>31</v>
      </c>
      <c r="V237" s="3">
        <v>419748</v>
      </c>
      <c r="W237" s="3">
        <v>4733617</v>
      </c>
      <c r="X237" s="25">
        <v>-0.35245280571128434</v>
      </c>
      <c r="Y237" s="25">
        <v>47.50097109506854</v>
      </c>
      <c r="Z237" s="6"/>
      <c r="AA237" s="7" t="s">
        <v>5138</v>
      </c>
      <c r="AB237" s="8">
        <v>2005</v>
      </c>
      <c r="AC237" s="9"/>
      <c r="AD237" s="10">
        <v>1</v>
      </c>
      <c r="AE237" s="31" t="s">
        <v>4327</v>
      </c>
    </row>
    <row r="238" spans="1:31" ht="12.75">
      <c r="A238" s="4" t="s">
        <v>4328</v>
      </c>
      <c r="B238" s="1" t="s">
        <v>5534</v>
      </c>
      <c r="C238" s="1" t="s">
        <v>4329</v>
      </c>
      <c r="D238" s="1" t="s">
        <v>4330</v>
      </c>
      <c r="E238" s="2">
        <v>300</v>
      </c>
      <c r="F238" s="2">
        <v>58</v>
      </c>
      <c r="G238" s="3" t="s">
        <v>4331</v>
      </c>
      <c r="H238" s="3" t="s">
        <v>4332</v>
      </c>
      <c r="I238" s="3" t="s">
        <v>4333</v>
      </c>
      <c r="J238" s="44" t="str">
        <f>HYPERLINK("https://www.centcols.org/util/geo/visuGen.php?code=FR-12-0300","FR-12-0300")</f>
        <v>FR-12-0300</v>
      </c>
      <c r="K238" s="3" t="s">
        <v>4334</v>
      </c>
      <c r="L238" s="1" t="s">
        <v>4335</v>
      </c>
      <c r="M238" s="8">
        <v>0</v>
      </c>
      <c r="N238" s="8">
        <v>0</v>
      </c>
      <c r="O238" s="4"/>
      <c r="P238" s="3"/>
      <c r="Q238" s="3" t="s">
        <v>4336</v>
      </c>
      <c r="R238" s="3" t="s">
        <v>4337</v>
      </c>
      <c r="S238" s="25">
        <v>2.2442869945119086</v>
      </c>
      <c r="T238" s="25">
        <v>44.57627107944596</v>
      </c>
      <c r="U238" s="2">
        <v>31</v>
      </c>
      <c r="V238" s="3">
        <v>440001</v>
      </c>
      <c r="W238" s="3">
        <v>4936159</v>
      </c>
      <c r="X238" s="25">
        <v>-0.10252121085548928</v>
      </c>
      <c r="Y238" s="25">
        <v>49.52922114817116</v>
      </c>
      <c r="Z238" s="6"/>
      <c r="AA238" s="7" t="s">
        <v>5138</v>
      </c>
      <c r="AB238" s="8">
        <v>2006</v>
      </c>
      <c r="AC238" s="9"/>
      <c r="AD238" s="10">
        <v>1</v>
      </c>
      <c r="AE238" s="31" t="s">
        <v>4338</v>
      </c>
    </row>
    <row r="239" spans="1:31" ht="12.75">
      <c r="A239" s="4" t="s">
        <v>4339</v>
      </c>
      <c r="B239" s="1" t="s">
        <v>5589</v>
      </c>
      <c r="C239" s="1" t="s">
        <v>6300</v>
      </c>
      <c r="D239" s="1" t="s">
        <v>6301</v>
      </c>
      <c r="E239" s="2">
        <v>365</v>
      </c>
      <c r="F239" s="2">
        <v>58</v>
      </c>
      <c r="G239" s="3" t="s">
        <v>4340</v>
      </c>
      <c r="H239" s="3" t="s">
        <v>4341</v>
      </c>
      <c r="I239" s="3" t="s">
        <v>4342</v>
      </c>
      <c r="J239" s="44" t="str">
        <f>HYPERLINK("https://www.centcols.org/util/geo/visuGen.php?code=FR-12-0365","FR-12-0365")</f>
        <v>FR-12-0365</v>
      </c>
      <c r="K239" s="3"/>
      <c r="L239" s="1" t="s">
        <v>5176</v>
      </c>
      <c r="M239" s="8">
        <v>99</v>
      </c>
      <c r="N239" s="8">
        <v>15</v>
      </c>
      <c r="O239" s="4"/>
      <c r="P239" s="3"/>
      <c r="Q239" s="3" t="s">
        <v>4343</v>
      </c>
      <c r="R239" s="3" t="s">
        <v>4344</v>
      </c>
      <c r="S239" s="25">
        <v>2.3491713579807496</v>
      </c>
      <c r="T239" s="25">
        <v>44.640995125244665</v>
      </c>
      <c r="U239" s="2">
        <v>31</v>
      </c>
      <c r="V239" s="3">
        <v>448385</v>
      </c>
      <c r="W239" s="3">
        <v>4943277</v>
      </c>
      <c r="X239" s="25">
        <v>0.014013597987128356</v>
      </c>
      <c r="Y239" s="25">
        <v>49.60113711150116</v>
      </c>
      <c r="Z239" s="6"/>
      <c r="AA239" s="7" t="s">
        <v>5138</v>
      </c>
      <c r="AB239" s="8" t="s">
        <v>5571</v>
      </c>
      <c r="AC239" s="9">
        <v>41281</v>
      </c>
      <c r="AD239" s="10">
        <v>12</v>
      </c>
      <c r="AE239" s="31" t="s">
        <v>4345</v>
      </c>
    </row>
    <row r="240" spans="1:31" ht="12.75">
      <c r="A240" s="4" t="s">
        <v>4346</v>
      </c>
      <c r="B240" s="1" t="s">
        <v>4347</v>
      </c>
      <c r="C240" s="1" t="s">
        <v>4348</v>
      </c>
      <c r="D240" s="1" t="s">
        <v>4349</v>
      </c>
      <c r="E240" s="2">
        <v>380</v>
      </c>
      <c r="F240" s="2">
        <v>58</v>
      </c>
      <c r="G240" s="3" t="s">
        <v>4350</v>
      </c>
      <c r="H240" s="3" t="s">
        <v>4351</v>
      </c>
      <c r="I240" s="3" t="s">
        <v>4352</v>
      </c>
      <c r="J240" s="44" t="str">
        <f>HYPERLINK("https://www.centcols.org/util/geo/visuGen.php?code=FR-12-0380","FR-12-0380")</f>
        <v>FR-12-0380</v>
      </c>
      <c r="K240" s="3" t="s">
        <v>4353</v>
      </c>
      <c r="L240" s="1" t="s">
        <v>5157</v>
      </c>
      <c r="M240" s="8">
        <v>0</v>
      </c>
      <c r="N240" s="8">
        <v>0</v>
      </c>
      <c r="O240" s="4"/>
      <c r="P240" s="3"/>
      <c r="Q240" s="3" t="s">
        <v>4354</v>
      </c>
      <c r="R240" s="3" t="s">
        <v>4355</v>
      </c>
      <c r="S240" s="25">
        <v>2.650295</v>
      </c>
      <c r="T240" s="25">
        <v>44.525243</v>
      </c>
      <c r="U240" s="2">
        <v>31</v>
      </c>
      <c r="V240" s="3">
        <v>472211</v>
      </c>
      <c r="W240" s="3">
        <v>4930273</v>
      </c>
      <c r="X240" s="25">
        <v>0.34858</v>
      </c>
      <c r="Y240" s="25">
        <v>49.472517</v>
      </c>
      <c r="Z240" s="6"/>
      <c r="AA240" s="7" t="s">
        <v>5138</v>
      </c>
      <c r="AB240" s="8">
        <v>2016</v>
      </c>
      <c r="AC240" s="9">
        <v>42593</v>
      </c>
      <c r="AD240" s="10"/>
      <c r="AE240" s="31" t="s">
        <v>4356</v>
      </c>
    </row>
    <row r="241" spans="1:31" ht="12.75">
      <c r="A241" s="18" t="s">
        <v>4357</v>
      </c>
      <c r="B241" s="62" t="s">
        <v>5128</v>
      </c>
      <c r="C241" s="62" t="s">
        <v>4358</v>
      </c>
      <c r="D241" s="62" t="s">
        <v>4359</v>
      </c>
      <c r="E241" s="24">
        <v>498</v>
      </c>
      <c r="F241" s="24">
        <v>57</v>
      </c>
      <c r="G241" s="24" t="s">
        <v>4360</v>
      </c>
      <c r="H241" s="24" t="s">
        <v>4361</v>
      </c>
      <c r="I241" s="24" t="s">
        <v>4362</v>
      </c>
      <c r="J241" s="44" t="str">
        <f>HYPERLINK("https://www.centcols.org/util/geo/visuGen.php?code=FR-12-0498","FR-12-0498")</f>
        <v>FR-12-0498</v>
      </c>
      <c r="K241" s="24" t="s">
        <v>4363</v>
      </c>
      <c r="L241" s="62" t="s">
        <v>5157</v>
      </c>
      <c r="M241" s="24">
        <v>0</v>
      </c>
      <c r="N241" s="24">
        <v>0</v>
      </c>
      <c r="O241" s="18"/>
      <c r="P241" s="19"/>
      <c r="Q241" s="24" t="s">
        <v>4364</v>
      </c>
      <c r="R241" s="24" t="s">
        <v>6981</v>
      </c>
      <c r="S241" s="59">
        <v>2.13684</v>
      </c>
      <c r="T241" s="59">
        <v>44.48591</v>
      </c>
      <c r="U241" s="24">
        <v>31</v>
      </c>
      <c r="V241" s="3">
        <v>431364</v>
      </c>
      <c r="W241" s="3">
        <v>4926206</v>
      </c>
      <c r="X241" s="25">
        <v>-0.221903</v>
      </c>
      <c r="Y241" s="25">
        <v>49.428819</v>
      </c>
      <c r="Z241" s="6"/>
      <c r="AA241" s="7" t="s">
        <v>5138</v>
      </c>
      <c r="AB241" s="8">
        <v>2019</v>
      </c>
      <c r="AC241" s="60">
        <v>43525</v>
      </c>
      <c r="AD241" s="10"/>
      <c r="AE241" s="31" t="s">
        <v>4365</v>
      </c>
    </row>
    <row r="242" spans="1:31" ht="12.75">
      <c r="A242" s="4" t="s">
        <v>4366</v>
      </c>
      <c r="B242" s="1" t="s">
        <v>4367</v>
      </c>
      <c r="C242" s="1" t="s">
        <v>4368</v>
      </c>
      <c r="D242" s="1" t="s">
        <v>4369</v>
      </c>
      <c r="E242" s="2">
        <v>499</v>
      </c>
      <c r="F242" s="2">
        <v>58</v>
      </c>
      <c r="G242" s="3" t="s">
        <v>4370</v>
      </c>
      <c r="H242" s="3" t="s">
        <v>4371</v>
      </c>
      <c r="I242" s="3" t="s">
        <v>4372</v>
      </c>
      <c r="J242" s="44" t="str">
        <f>HYPERLINK("https://www.centcols.org/util/geo/visuGen.php?code=FR-12-0499","FR-12-0499")</f>
        <v>FR-12-0499</v>
      </c>
      <c r="K242" s="3" t="s">
        <v>4373</v>
      </c>
      <c r="L242" s="1" t="s">
        <v>4374</v>
      </c>
      <c r="M242" s="8">
        <v>0</v>
      </c>
      <c r="N242" s="8">
        <v>0</v>
      </c>
      <c r="O242" s="4"/>
      <c r="P242" s="3"/>
      <c r="Q242" s="3" t="s">
        <v>4375</v>
      </c>
      <c r="R242" s="3" t="s">
        <v>4376</v>
      </c>
      <c r="S242" s="25">
        <v>2.255438</v>
      </c>
      <c r="T242" s="25">
        <v>44.455211</v>
      </c>
      <c r="U242" s="2">
        <v>31</v>
      </c>
      <c r="V242" s="3">
        <v>440764</v>
      </c>
      <c r="W242" s="3">
        <v>4922704</v>
      </c>
      <c r="X242" s="25">
        <v>0.940714</v>
      </c>
      <c r="Y242" s="25">
        <v>49.621523</v>
      </c>
      <c r="Z242" s="6"/>
      <c r="AA242" s="7" t="s">
        <v>5138</v>
      </c>
      <c r="AB242" s="8">
        <v>2017</v>
      </c>
      <c r="AC242" s="9"/>
      <c r="AD242" s="10"/>
      <c r="AE242" s="31" t="s">
        <v>5149</v>
      </c>
    </row>
    <row r="243" spans="1:31" ht="12.75">
      <c r="A243" s="4" t="s">
        <v>4377</v>
      </c>
      <c r="B243" s="1" t="s">
        <v>5574</v>
      </c>
      <c r="C243" s="1" t="s">
        <v>4378</v>
      </c>
      <c r="D243" s="1" t="s">
        <v>4379</v>
      </c>
      <c r="E243" s="2">
        <v>556</v>
      </c>
      <c r="F243" s="2">
        <v>58</v>
      </c>
      <c r="G243" s="3" t="s">
        <v>4380</v>
      </c>
      <c r="H243" s="3" t="s">
        <v>4381</v>
      </c>
      <c r="I243" s="3" t="s">
        <v>4382</v>
      </c>
      <c r="J243" s="44" t="str">
        <f>HYPERLINK("https://www.centcols.org/util/geo/visuGen.php?code=FR-12-0556","FR-12-0556")</f>
        <v>FR-12-0556</v>
      </c>
      <c r="K243" s="3" t="s">
        <v>4383</v>
      </c>
      <c r="L243" s="1" t="s">
        <v>5157</v>
      </c>
      <c r="M243" s="8">
        <v>0</v>
      </c>
      <c r="N243" s="8">
        <v>0</v>
      </c>
      <c r="O243" s="4"/>
      <c r="P243" s="3"/>
      <c r="Q243" s="3" t="s">
        <v>4384</v>
      </c>
      <c r="R243" s="3" t="s">
        <v>4385</v>
      </c>
      <c r="S243" s="25">
        <v>2.622285</v>
      </c>
      <c r="T243" s="25">
        <v>44.687419</v>
      </c>
      <c r="U243" s="2">
        <v>31</v>
      </c>
      <c r="V243" s="3">
        <v>470069</v>
      </c>
      <c r="W243" s="3">
        <v>4948297</v>
      </c>
      <c r="X243" s="25">
        <v>0.3174622709949654</v>
      </c>
      <c r="Y243" s="25">
        <v>49.652715415923524</v>
      </c>
      <c r="Z243" s="6"/>
      <c r="AA243" s="7" t="s">
        <v>5138</v>
      </c>
      <c r="AB243" s="8">
        <v>2017</v>
      </c>
      <c r="AC243" s="9"/>
      <c r="AD243" s="10"/>
      <c r="AE243" s="31" t="s">
        <v>5269</v>
      </c>
    </row>
    <row r="244" spans="1:31" ht="12.75">
      <c r="A244" s="4" t="s">
        <v>4386</v>
      </c>
      <c r="B244" s="1" t="s">
        <v>5128</v>
      </c>
      <c r="C244" s="1" t="s">
        <v>4387</v>
      </c>
      <c r="D244" s="1" t="s">
        <v>4388</v>
      </c>
      <c r="E244" s="2">
        <v>613</v>
      </c>
      <c r="F244" s="2">
        <v>65</v>
      </c>
      <c r="G244" s="3" t="s">
        <v>4389</v>
      </c>
      <c r="H244" s="3" t="s">
        <v>4390</v>
      </c>
      <c r="I244" s="3" t="s">
        <v>4391</v>
      </c>
      <c r="J244" s="44" t="str">
        <f>HYPERLINK("https://www.centcols.org/util/geo/visuGen.php?code=FR-12-0613","FR-12-0613")</f>
        <v>FR-12-0613</v>
      </c>
      <c r="K244" s="3" t="s">
        <v>4392</v>
      </c>
      <c r="L244" s="1" t="s">
        <v>4393</v>
      </c>
      <c r="M244" s="8">
        <v>0</v>
      </c>
      <c r="N244" s="8">
        <v>0</v>
      </c>
      <c r="O244" s="4"/>
      <c r="P244" s="3"/>
      <c r="Q244" s="3" t="s">
        <v>4394</v>
      </c>
      <c r="R244" s="3" t="s">
        <v>4395</v>
      </c>
      <c r="S244" s="25">
        <v>3.087363</v>
      </c>
      <c r="T244" s="25">
        <v>43.904655</v>
      </c>
      <c r="U244" s="2">
        <v>31</v>
      </c>
      <c r="V244" s="3">
        <v>507015</v>
      </c>
      <c r="W244" s="3">
        <v>4861287</v>
      </c>
      <c r="X244" s="25">
        <v>0.834181</v>
      </c>
      <c r="Y244" s="25">
        <v>48.78296</v>
      </c>
      <c r="Z244" s="6"/>
      <c r="AA244" s="7" t="s">
        <v>5138</v>
      </c>
      <c r="AB244" s="8">
        <v>2015</v>
      </c>
      <c r="AC244" s="9">
        <v>42045</v>
      </c>
      <c r="AD244" s="10"/>
      <c r="AE244" s="31" t="s">
        <v>4396</v>
      </c>
    </row>
    <row r="245" spans="1:31" ht="12.75">
      <c r="A245" s="4" t="s">
        <v>4397</v>
      </c>
      <c r="B245" s="1" t="s">
        <v>5923</v>
      </c>
      <c r="C245" s="1" t="s">
        <v>4398</v>
      </c>
      <c r="D245" s="1" t="s">
        <v>4399</v>
      </c>
      <c r="E245" s="2">
        <v>636</v>
      </c>
      <c r="F245" s="2">
        <v>65</v>
      </c>
      <c r="G245" s="3" t="s">
        <v>4389</v>
      </c>
      <c r="H245" s="3" t="s">
        <v>4400</v>
      </c>
      <c r="I245" s="3" t="s">
        <v>4401</v>
      </c>
      <c r="J245" s="44" t="str">
        <f>HYPERLINK("https://www.centcols.org/util/geo/visuGen.php?code=FR-12-0636","FR-12-0636")</f>
        <v>FR-12-0636</v>
      </c>
      <c r="K245" s="3" t="s">
        <v>4402</v>
      </c>
      <c r="L245" s="1" t="s">
        <v>4403</v>
      </c>
      <c r="M245" s="8">
        <v>0</v>
      </c>
      <c r="N245" s="8">
        <v>0</v>
      </c>
      <c r="O245" s="4"/>
      <c r="P245" s="3"/>
      <c r="Q245" s="3" t="s">
        <v>4404</v>
      </c>
      <c r="R245" s="3" t="s">
        <v>4405</v>
      </c>
      <c r="S245" s="25">
        <v>3.126515</v>
      </c>
      <c r="T245" s="25">
        <v>43.855599</v>
      </c>
      <c r="U245" s="2">
        <v>31</v>
      </c>
      <c r="V245" s="3">
        <v>510168</v>
      </c>
      <c r="W245" s="3">
        <v>4855843</v>
      </c>
      <c r="X245" s="25">
        <v>0.87768</v>
      </c>
      <c r="Y245" s="25">
        <v>48.728453</v>
      </c>
      <c r="Z245" s="6"/>
      <c r="AA245" s="7" t="s">
        <v>5138</v>
      </c>
      <c r="AB245" s="8">
        <v>2015</v>
      </c>
      <c r="AC245" s="9">
        <v>42045</v>
      </c>
      <c r="AD245" s="10"/>
      <c r="AE245" s="31" t="s">
        <v>4406</v>
      </c>
    </row>
    <row r="246" spans="1:31" ht="12.75">
      <c r="A246" s="4" t="s">
        <v>4407</v>
      </c>
      <c r="B246" s="1" t="s">
        <v>5589</v>
      </c>
      <c r="C246" s="1" t="s">
        <v>5826</v>
      </c>
      <c r="D246" s="1" t="s">
        <v>5827</v>
      </c>
      <c r="E246" s="2">
        <v>670</v>
      </c>
      <c r="F246" s="2">
        <v>58</v>
      </c>
      <c r="G246" s="3" t="s">
        <v>4350</v>
      </c>
      <c r="H246" s="3" t="s">
        <v>4408</v>
      </c>
      <c r="I246" s="3" t="s">
        <v>4409</v>
      </c>
      <c r="J246" s="44" t="str">
        <f>HYPERLINK("https://www.centcols.org/util/geo/visuGen.php?code=FR-12-0670","FR-12-0670")</f>
        <v>FR-12-0670</v>
      </c>
      <c r="K246" s="3" t="s">
        <v>4410</v>
      </c>
      <c r="L246" s="1" t="s">
        <v>5157</v>
      </c>
      <c r="M246" s="8">
        <v>0</v>
      </c>
      <c r="N246" s="8">
        <v>0</v>
      </c>
      <c r="O246" s="4"/>
      <c r="P246" s="3"/>
      <c r="Q246" s="3" t="s">
        <v>4411</v>
      </c>
      <c r="R246" s="3" t="s">
        <v>4412</v>
      </c>
      <c r="S246" s="25">
        <v>2.651911</v>
      </c>
      <c r="T246" s="25">
        <v>44.5878</v>
      </c>
      <c r="U246" s="2">
        <v>31</v>
      </c>
      <c r="V246" s="3">
        <v>472369</v>
      </c>
      <c r="W246" s="3">
        <v>4937221</v>
      </c>
      <c r="X246" s="25">
        <v>0.35037655298082465</v>
      </c>
      <c r="Y246" s="25">
        <v>49.54202561157124</v>
      </c>
      <c r="Z246" s="6"/>
      <c r="AA246" s="7" t="s">
        <v>5138</v>
      </c>
      <c r="AB246" s="8">
        <v>2015</v>
      </c>
      <c r="AC246" s="9"/>
      <c r="AD246" s="10"/>
      <c r="AE246" s="31" t="s">
        <v>4413</v>
      </c>
    </row>
    <row r="247" spans="1:31" ht="12.75">
      <c r="A247" s="18" t="s">
        <v>4414</v>
      </c>
      <c r="B247" s="20" t="s">
        <v>4347</v>
      </c>
      <c r="C247" s="20" t="s">
        <v>4415</v>
      </c>
      <c r="D247" s="20" t="s">
        <v>4416</v>
      </c>
      <c r="E247" s="19">
        <v>730</v>
      </c>
      <c r="F247" s="14">
        <v>65</v>
      </c>
      <c r="G247" s="19" t="s">
        <v>4389</v>
      </c>
      <c r="H247" s="19" t="s">
        <v>4417</v>
      </c>
      <c r="I247" s="19" t="s">
        <v>4418</v>
      </c>
      <c r="J247" s="44" t="str">
        <f>HYPERLINK("https://www.centcols.org/util/geo/visuGen.php?code=FR-12-0730a","FR-12-0730a")</f>
        <v>FR-12-0730a</v>
      </c>
      <c r="K247" s="19"/>
      <c r="L247" s="20"/>
      <c r="M247" s="19">
        <v>99</v>
      </c>
      <c r="N247" s="19">
        <v>15</v>
      </c>
      <c r="O247" s="18"/>
      <c r="P247" s="19"/>
      <c r="Q247" s="19" t="s">
        <v>4419</v>
      </c>
      <c r="R247" s="19" t="s">
        <v>4420</v>
      </c>
      <c r="S247" s="59">
        <v>3.217925</v>
      </c>
      <c r="T247" s="59">
        <v>43.86343</v>
      </c>
      <c r="U247" s="19">
        <v>31</v>
      </c>
      <c r="V247" s="3">
        <v>517512</v>
      </c>
      <c r="W247" s="3">
        <v>4856728</v>
      </c>
      <c r="X247" s="59">
        <v>0.979243</v>
      </c>
      <c r="Y247" s="59">
        <v>48.737153</v>
      </c>
      <c r="Z247" s="18"/>
      <c r="AA247" s="19" t="s">
        <v>5138</v>
      </c>
      <c r="AB247" s="11">
        <v>2018</v>
      </c>
      <c r="AC247" s="12">
        <v>43250</v>
      </c>
      <c r="AD247" s="54"/>
      <c r="AE247" s="23" t="s">
        <v>4421</v>
      </c>
    </row>
    <row r="248" spans="1:31" ht="12.75">
      <c r="A248" s="4" t="s">
        <v>4422</v>
      </c>
      <c r="B248" s="1" t="s">
        <v>5589</v>
      </c>
      <c r="C248" s="1" t="s">
        <v>4423</v>
      </c>
      <c r="D248" s="1" t="s">
        <v>4424</v>
      </c>
      <c r="E248" s="2">
        <v>805</v>
      </c>
      <c r="F248" s="2">
        <v>58</v>
      </c>
      <c r="G248" s="3" t="s">
        <v>4425</v>
      </c>
      <c r="H248" s="3" t="s">
        <v>4426</v>
      </c>
      <c r="I248" s="3" t="s">
        <v>4427</v>
      </c>
      <c r="J248" s="44" t="str">
        <f>HYPERLINK("https://www.centcols.org/util/geo/visuGen.php?code=FR-12-0805","FR-12-0805")</f>
        <v>FR-12-0805</v>
      </c>
      <c r="K248" s="3"/>
      <c r="L248" s="1"/>
      <c r="M248" s="8">
        <v>99</v>
      </c>
      <c r="N248" s="8">
        <v>20</v>
      </c>
      <c r="O248" s="4"/>
      <c r="P248" s="3"/>
      <c r="Q248" s="3" t="s">
        <v>4428</v>
      </c>
      <c r="R248" s="3" t="s">
        <v>4429</v>
      </c>
      <c r="S248" s="25">
        <v>3.380954228722467</v>
      </c>
      <c r="T248" s="25">
        <v>44.04647762718633</v>
      </c>
      <c r="U248" s="2">
        <v>31</v>
      </c>
      <c r="V248" s="3">
        <v>530519</v>
      </c>
      <c r="W248" s="3">
        <v>4877106</v>
      </c>
      <c r="X248" s="25">
        <v>1.1603819659250918</v>
      </c>
      <c r="Y248" s="25">
        <v>48.94054047601298</v>
      </c>
      <c r="Z248" s="6"/>
      <c r="AA248" s="7" t="s">
        <v>5138</v>
      </c>
      <c r="AB248" s="8">
        <v>2008</v>
      </c>
      <c r="AC248" s="9"/>
      <c r="AD248" s="10">
        <v>1</v>
      </c>
      <c r="AE248" s="31" t="s">
        <v>4430</v>
      </c>
    </row>
    <row r="249" spans="1:31" ht="12.75">
      <c r="A249" s="4" t="s">
        <v>4431</v>
      </c>
      <c r="B249" s="1" t="s">
        <v>4432</v>
      </c>
      <c r="C249" s="1" t="s">
        <v>4433</v>
      </c>
      <c r="D249" s="1" t="s">
        <v>4434</v>
      </c>
      <c r="E249" s="2">
        <v>1011</v>
      </c>
      <c r="F249" s="2">
        <v>58</v>
      </c>
      <c r="G249" s="3" t="s">
        <v>4435</v>
      </c>
      <c r="H249" s="3" t="s">
        <v>4436</v>
      </c>
      <c r="I249" s="3" t="s">
        <v>4437</v>
      </c>
      <c r="J249" s="44" t="str">
        <f>HYPERLINK("https://www.centcols.org/util/geo/visuGen.php?code=FR-12-1011","FR-12-1011")</f>
        <v>FR-12-1011</v>
      </c>
      <c r="K249" s="3" t="s">
        <v>4438</v>
      </c>
      <c r="L249" s="1" t="s">
        <v>4439</v>
      </c>
      <c r="M249" s="8">
        <v>0</v>
      </c>
      <c r="N249" s="8">
        <v>0</v>
      </c>
      <c r="O249" s="4"/>
      <c r="P249" s="3"/>
      <c r="Q249" s="3" t="s">
        <v>4440</v>
      </c>
      <c r="R249" s="3" t="s">
        <v>4441</v>
      </c>
      <c r="S249" s="25">
        <v>2.9256779037630976</v>
      </c>
      <c r="T249" s="25">
        <v>44.189348247152196</v>
      </c>
      <c r="U249" s="2">
        <v>31</v>
      </c>
      <c r="V249" s="3">
        <v>494060</v>
      </c>
      <c r="W249" s="3">
        <v>4892906</v>
      </c>
      <c r="X249" s="25">
        <v>0.6545422696286781</v>
      </c>
      <c r="Y249" s="25">
        <v>49.099291929755</v>
      </c>
      <c r="Z249" s="6"/>
      <c r="AA249" s="7" t="s">
        <v>5138</v>
      </c>
      <c r="AB249" s="8" t="s">
        <v>5571</v>
      </c>
      <c r="AC249" s="9">
        <v>41212</v>
      </c>
      <c r="AD249" s="10">
        <v>1</v>
      </c>
      <c r="AE249" s="31" t="s">
        <v>4442</v>
      </c>
    </row>
    <row r="250" spans="1:31" ht="12.75">
      <c r="A250" s="4" t="s">
        <v>4443</v>
      </c>
      <c r="B250" s="1" t="s">
        <v>4444</v>
      </c>
      <c r="C250" s="1" t="s">
        <v>4445</v>
      </c>
      <c r="D250" s="1" t="s">
        <v>4446</v>
      </c>
      <c r="E250" s="2">
        <v>1119</v>
      </c>
      <c r="F250" s="2">
        <v>58</v>
      </c>
      <c r="G250" s="3" t="s">
        <v>4447</v>
      </c>
      <c r="H250" s="3" t="s">
        <v>4448</v>
      </c>
      <c r="I250" s="3" t="s">
        <v>4449</v>
      </c>
      <c r="J250" s="44" t="str">
        <f>HYPERLINK("https://www.centcols.org/util/geo/visuGen.php?code=FR-12-1119","FR-12-1119")</f>
        <v>FR-12-1119</v>
      </c>
      <c r="K250" s="3" t="s">
        <v>4450</v>
      </c>
      <c r="L250" s="1" t="s">
        <v>4451</v>
      </c>
      <c r="M250" s="8">
        <v>0</v>
      </c>
      <c r="N250" s="8">
        <v>0</v>
      </c>
      <c r="O250" s="4"/>
      <c r="P250" s="3"/>
      <c r="Q250" s="3" t="s">
        <v>4452</v>
      </c>
      <c r="R250" s="3" t="s">
        <v>4453</v>
      </c>
      <c r="S250" s="25">
        <v>2.8695454958690108</v>
      </c>
      <c r="T250" s="25">
        <v>44.72309155034464</v>
      </c>
      <c r="U250" s="2">
        <v>31</v>
      </c>
      <c r="V250" s="3">
        <v>489669</v>
      </c>
      <c r="W250" s="3">
        <v>4952198</v>
      </c>
      <c r="X250" s="25">
        <v>0.5921852753691432</v>
      </c>
      <c r="Y250" s="25">
        <v>49.6923496267262</v>
      </c>
      <c r="Z250" s="6"/>
      <c r="AA250" s="7" t="s">
        <v>5138</v>
      </c>
      <c r="AB250" s="8">
        <v>2011</v>
      </c>
      <c r="AC250" s="9"/>
      <c r="AD250" s="10">
        <v>1</v>
      </c>
      <c r="AE250" s="31" t="s">
        <v>4454</v>
      </c>
    </row>
    <row r="251" spans="1:31" ht="12.75">
      <c r="A251" s="4" t="s">
        <v>4455</v>
      </c>
      <c r="B251" s="1" t="s">
        <v>5574</v>
      </c>
      <c r="C251" s="1" t="s">
        <v>4456</v>
      </c>
      <c r="D251" s="1" t="s">
        <v>4457</v>
      </c>
      <c r="E251" s="2">
        <v>15</v>
      </c>
      <c r="F251" s="2">
        <v>66</v>
      </c>
      <c r="G251" s="3" t="s">
        <v>4458</v>
      </c>
      <c r="H251" s="3" t="s">
        <v>4459</v>
      </c>
      <c r="I251" s="3" t="s">
        <v>4460</v>
      </c>
      <c r="J251" s="44" t="str">
        <f>HYPERLINK("https://www.centcols.org/util/geo/visuGen.php?code=FR-13-0015","FR-13-0015")</f>
        <v>FR-13-0015</v>
      </c>
      <c r="K251" s="3" t="s">
        <v>4461</v>
      </c>
      <c r="L251" s="1" t="s">
        <v>5157</v>
      </c>
      <c r="M251" s="8">
        <v>0</v>
      </c>
      <c r="N251" s="8">
        <v>0</v>
      </c>
      <c r="O251" s="4"/>
      <c r="P251" s="3"/>
      <c r="Q251" s="3" t="s">
        <v>4462</v>
      </c>
      <c r="R251" s="3" t="s">
        <v>4463</v>
      </c>
      <c r="S251" s="25">
        <v>4.764989613378212</v>
      </c>
      <c r="T251" s="25">
        <v>43.70638893356245</v>
      </c>
      <c r="U251" s="2">
        <v>31</v>
      </c>
      <c r="V251" s="3">
        <v>642203</v>
      </c>
      <c r="W251" s="3">
        <v>4840777</v>
      </c>
      <c r="X251" s="25">
        <v>2.6981368817404823</v>
      </c>
      <c r="Y251" s="25">
        <v>48.562642593683954</v>
      </c>
      <c r="Z251" s="6"/>
      <c r="AA251" s="7" t="s">
        <v>5138</v>
      </c>
      <c r="AB251" s="8">
        <v>2005</v>
      </c>
      <c r="AC251" s="9"/>
      <c r="AD251" s="10">
        <v>1</v>
      </c>
      <c r="AE251" s="31" t="s">
        <v>4464</v>
      </c>
    </row>
    <row r="252" spans="1:31" ht="12.75">
      <c r="A252" s="18" t="s">
        <v>4465</v>
      </c>
      <c r="B252" s="20" t="s">
        <v>5741</v>
      </c>
      <c r="C252" s="20" t="s">
        <v>4466</v>
      </c>
      <c r="D252" s="20" t="s">
        <v>4467</v>
      </c>
      <c r="E252" s="19">
        <v>51</v>
      </c>
      <c r="F252" s="19">
        <v>67</v>
      </c>
      <c r="G252" s="19" t="s">
        <v>4468</v>
      </c>
      <c r="H252" s="19" t="s">
        <v>4469</v>
      </c>
      <c r="I252" s="19" t="s">
        <v>4470</v>
      </c>
      <c r="J252" s="44" t="str">
        <f>HYPERLINK("https://www.centcols.org/util/geo/visuGen.php?code=FR-13-0051","FR-13-0051")</f>
        <v>FR-13-0051</v>
      </c>
      <c r="K252" s="19"/>
      <c r="L252" s="20"/>
      <c r="M252" s="19">
        <v>99</v>
      </c>
      <c r="N252" s="19">
        <v>20</v>
      </c>
      <c r="O252" s="18"/>
      <c r="P252" s="19"/>
      <c r="Q252" s="19" t="s">
        <v>4471</v>
      </c>
      <c r="R252" s="19" t="s">
        <v>6970</v>
      </c>
      <c r="S252" s="59">
        <v>5.355546</v>
      </c>
      <c r="T252" s="59">
        <v>43.217621</v>
      </c>
      <c r="U252" s="19">
        <v>31</v>
      </c>
      <c r="V252" s="3">
        <v>691321</v>
      </c>
      <c r="W252" s="3">
        <v>4787676</v>
      </c>
      <c r="X252" s="59">
        <v>3.354277</v>
      </c>
      <c r="Y252" s="59">
        <v>48.01955</v>
      </c>
      <c r="Z252" s="18"/>
      <c r="AA252" s="19" t="s">
        <v>5138</v>
      </c>
      <c r="AB252" s="11">
        <v>2019</v>
      </c>
      <c r="AC252" s="60">
        <v>43525</v>
      </c>
      <c r="AD252" s="54"/>
      <c r="AE252" s="61" t="s">
        <v>4472</v>
      </c>
    </row>
    <row r="253" spans="1:31" ht="12.75">
      <c r="A253" s="18" t="s">
        <v>4473</v>
      </c>
      <c r="B253" s="20" t="s">
        <v>4347</v>
      </c>
      <c r="C253" s="20" t="s">
        <v>4474</v>
      </c>
      <c r="D253" s="20" t="s">
        <v>4475</v>
      </c>
      <c r="E253" s="19">
        <v>85</v>
      </c>
      <c r="F253" s="19">
        <v>67</v>
      </c>
      <c r="G253" s="19" t="s">
        <v>4468</v>
      </c>
      <c r="H253" s="19" t="s">
        <v>4476</v>
      </c>
      <c r="I253" s="19" t="s">
        <v>4477</v>
      </c>
      <c r="J253" s="44" t="str">
        <f>HYPERLINK("https://www.centcols.org/util/geo/visuGen.php?code=FR-13-0085","FR-13-0085")</f>
        <v>FR-13-0085</v>
      </c>
      <c r="K253" s="19"/>
      <c r="L253" s="20" t="s">
        <v>4478</v>
      </c>
      <c r="M253" s="19">
        <v>5</v>
      </c>
      <c r="N253" s="19">
        <v>15</v>
      </c>
      <c r="O253" s="18"/>
      <c r="P253" s="19"/>
      <c r="Q253" s="19" t="s">
        <v>4479</v>
      </c>
      <c r="R253" s="19" t="s">
        <v>6971</v>
      </c>
      <c r="S253" s="59">
        <v>5.351664</v>
      </c>
      <c r="T253" s="59">
        <v>43.22129</v>
      </c>
      <c r="U253" s="19">
        <v>31</v>
      </c>
      <c r="V253" s="3">
        <v>690994</v>
      </c>
      <c r="W253" s="3">
        <v>4788075</v>
      </c>
      <c r="X253" s="59">
        <v>3.349964</v>
      </c>
      <c r="Y253" s="59">
        <v>48.023632</v>
      </c>
      <c r="Z253" s="18"/>
      <c r="AA253" s="19" t="s">
        <v>5138</v>
      </c>
      <c r="AB253" s="11">
        <v>2019</v>
      </c>
      <c r="AC253" s="60">
        <v>43525</v>
      </c>
      <c r="AD253" s="54"/>
      <c r="AE253" s="61" t="s">
        <v>4480</v>
      </c>
    </row>
    <row r="254" spans="1:31" ht="12.75">
      <c r="A254" s="4" t="s">
        <v>4481</v>
      </c>
      <c r="B254" s="1" t="s">
        <v>6094</v>
      </c>
      <c r="C254" s="1" t="s">
        <v>4482</v>
      </c>
      <c r="D254" s="1" t="s">
        <v>4483</v>
      </c>
      <c r="E254" s="2">
        <v>126</v>
      </c>
      <c r="F254" s="2">
        <v>67</v>
      </c>
      <c r="G254" s="3" t="s">
        <v>4484</v>
      </c>
      <c r="H254" s="3" t="s">
        <v>4485</v>
      </c>
      <c r="I254" s="3" t="s">
        <v>4486</v>
      </c>
      <c r="J254" s="44" t="str">
        <f>HYPERLINK("https://www.centcols.org/util/geo/visuGen.php?code=FR-13-0126","FR-13-0126")</f>
        <v>FR-13-0126</v>
      </c>
      <c r="K254" s="3"/>
      <c r="L254" s="1"/>
      <c r="M254" s="8">
        <v>99</v>
      </c>
      <c r="N254" s="8">
        <v>20</v>
      </c>
      <c r="O254" s="4"/>
      <c r="P254" s="3"/>
      <c r="Q254" s="3" t="s">
        <v>4487</v>
      </c>
      <c r="R254" s="3" t="s">
        <v>4488</v>
      </c>
      <c r="S254" s="25">
        <v>5.0479987554789005</v>
      </c>
      <c r="T254" s="25">
        <v>43.57092962714952</v>
      </c>
      <c r="U254" s="2">
        <v>31</v>
      </c>
      <c r="V254" s="3">
        <v>665377</v>
      </c>
      <c r="W254" s="3">
        <v>4826256</v>
      </c>
      <c r="X254" s="25">
        <v>3.012577693368317</v>
      </c>
      <c r="Y254" s="25">
        <v>48.41212616327219</v>
      </c>
      <c r="Z254" s="6"/>
      <c r="AA254" s="7" t="s">
        <v>5138</v>
      </c>
      <c r="AB254" s="8" t="s">
        <v>5571</v>
      </c>
      <c r="AC254" s="9">
        <v>41208</v>
      </c>
      <c r="AD254" s="10">
        <v>1</v>
      </c>
      <c r="AE254" s="31" t="s">
        <v>4489</v>
      </c>
    </row>
    <row r="255" spans="1:31" ht="12.75">
      <c r="A255" s="4" t="s">
        <v>4490</v>
      </c>
      <c r="B255" s="1" t="s">
        <v>5923</v>
      </c>
      <c r="C255" s="1" t="s">
        <v>4491</v>
      </c>
      <c r="D255" s="1" t="s">
        <v>4492</v>
      </c>
      <c r="E255" s="2">
        <v>130</v>
      </c>
      <c r="F255" s="2">
        <v>66</v>
      </c>
      <c r="G255" s="3" t="s">
        <v>4493</v>
      </c>
      <c r="H255" s="3" t="s">
        <v>4494</v>
      </c>
      <c r="I255" s="3" t="s">
        <v>4495</v>
      </c>
      <c r="J255" s="44" t="str">
        <f>HYPERLINK("https://www.centcols.org/util/geo/visuGen.php?code=FR-13-0130","FR-13-0130")</f>
        <v>FR-13-0130</v>
      </c>
      <c r="K255" s="3" t="s">
        <v>4496</v>
      </c>
      <c r="L255" s="1" t="s">
        <v>4497</v>
      </c>
      <c r="M255" s="8">
        <v>0</v>
      </c>
      <c r="N255" s="8">
        <v>0</v>
      </c>
      <c r="O255" s="4"/>
      <c r="P255" s="3"/>
      <c r="Q255" s="3" t="s">
        <v>4498</v>
      </c>
      <c r="R255" s="3" t="s">
        <v>4499</v>
      </c>
      <c r="S255" s="25">
        <v>4.920746807411726</v>
      </c>
      <c r="T255" s="25">
        <v>43.74839707971001</v>
      </c>
      <c r="U255" s="2">
        <v>31</v>
      </c>
      <c r="V255" s="3">
        <v>654645</v>
      </c>
      <c r="W255" s="3">
        <v>4845721</v>
      </c>
      <c r="X255" s="25">
        <v>2.871194635315043</v>
      </c>
      <c r="Y255" s="25">
        <v>48.60931760998375</v>
      </c>
      <c r="Z255" s="6"/>
      <c r="AA255" s="7" t="s">
        <v>5138</v>
      </c>
      <c r="AB255" s="8" t="s">
        <v>5571</v>
      </c>
      <c r="AC255" s="9">
        <v>41301</v>
      </c>
      <c r="AD255" s="10">
        <v>16</v>
      </c>
      <c r="AE255" s="31" t="s">
        <v>4500</v>
      </c>
    </row>
    <row r="256" spans="1:31" ht="12.75">
      <c r="A256" s="4" t="s">
        <v>4501</v>
      </c>
      <c r="B256" s="1" t="s">
        <v>5759</v>
      </c>
      <c r="C256" s="1" t="s">
        <v>4502</v>
      </c>
      <c r="D256" s="1" t="s">
        <v>4503</v>
      </c>
      <c r="E256" s="2">
        <v>180</v>
      </c>
      <c r="F256" s="2">
        <v>66</v>
      </c>
      <c r="G256" s="3" t="s">
        <v>4504</v>
      </c>
      <c r="H256" s="3" t="s">
        <v>4505</v>
      </c>
      <c r="I256" s="3" t="s">
        <v>4506</v>
      </c>
      <c r="J256" s="44" t="str">
        <f>HYPERLINK("https://www.centcols.org/util/geo/visuGen.php?code=FR-13-0180b","FR-13-0180b")</f>
        <v>FR-13-0180b</v>
      </c>
      <c r="K256" s="3"/>
      <c r="L256" s="1" t="s">
        <v>5138</v>
      </c>
      <c r="M256" s="8">
        <v>35</v>
      </c>
      <c r="N256" s="8">
        <v>10</v>
      </c>
      <c r="O256" s="4"/>
      <c r="P256" s="3"/>
      <c r="Q256" s="3" t="s">
        <v>4507</v>
      </c>
      <c r="R256" s="3" t="s">
        <v>4508</v>
      </c>
      <c r="S256" s="25">
        <v>4.951174552281852</v>
      </c>
      <c r="T256" s="25">
        <v>43.72810465560029</v>
      </c>
      <c r="U256" s="2">
        <v>31</v>
      </c>
      <c r="V256" s="3">
        <v>657148</v>
      </c>
      <c r="W256" s="3">
        <v>4843525</v>
      </c>
      <c r="X256" s="25">
        <v>2.9050018304358263</v>
      </c>
      <c r="Y256" s="25">
        <v>48.586769770114984</v>
      </c>
      <c r="Z256" s="6"/>
      <c r="AA256" s="7" t="s">
        <v>5138</v>
      </c>
      <c r="AB256" s="8" t="s">
        <v>5571</v>
      </c>
      <c r="AC256" s="9">
        <v>41301</v>
      </c>
      <c r="AD256" s="10">
        <v>16</v>
      </c>
      <c r="AE256" s="31" t="s">
        <v>5572</v>
      </c>
    </row>
    <row r="257" spans="1:31" ht="12.75">
      <c r="A257" s="4" t="s">
        <v>4509</v>
      </c>
      <c r="B257" s="1" t="s">
        <v>5589</v>
      </c>
      <c r="C257" s="1" t="s">
        <v>5805</v>
      </c>
      <c r="D257" s="1" t="s">
        <v>5806</v>
      </c>
      <c r="E257" s="2">
        <v>230</v>
      </c>
      <c r="F257" s="2">
        <v>67</v>
      </c>
      <c r="G257" s="3" t="s">
        <v>4510</v>
      </c>
      <c r="H257" s="3" t="s">
        <v>4511</v>
      </c>
      <c r="I257" s="3" t="s">
        <v>4512</v>
      </c>
      <c r="J257" s="44" t="str">
        <f>HYPERLINK("https://www.centcols.org/util/geo/visuGen.php?code=FR-13-0230a","FR-13-0230a")</f>
        <v>FR-13-0230a</v>
      </c>
      <c r="K257" s="3" t="s">
        <v>4513</v>
      </c>
      <c r="L257" s="1" t="s">
        <v>4514</v>
      </c>
      <c r="M257" s="8">
        <v>0</v>
      </c>
      <c r="N257" s="8">
        <v>0</v>
      </c>
      <c r="O257" s="4"/>
      <c r="P257" s="3"/>
      <c r="Q257" s="3" t="s">
        <v>4515</v>
      </c>
      <c r="R257" s="3" t="s">
        <v>4516</v>
      </c>
      <c r="S257" s="25">
        <v>5.624269668950474</v>
      </c>
      <c r="T257" s="25">
        <v>43.482657637164884</v>
      </c>
      <c r="U257" s="2">
        <v>31</v>
      </c>
      <c r="V257" s="3">
        <v>712222</v>
      </c>
      <c r="W257" s="3">
        <v>4817761</v>
      </c>
      <c r="X257" s="25">
        <v>3.652854633401211</v>
      </c>
      <c r="Y257" s="25">
        <v>48.31403999772681</v>
      </c>
      <c r="Z257" s="6"/>
      <c r="AA257" s="7" t="s">
        <v>5138</v>
      </c>
      <c r="AB257" s="8">
        <v>2006</v>
      </c>
      <c r="AC257" s="9"/>
      <c r="AD257" s="10">
        <v>1</v>
      </c>
      <c r="AE257" s="31" t="s">
        <v>4517</v>
      </c>
    </row>
    <row r="258" spans="1:31" ht="12.75">
      <c r="A258" s="4" t="s">
        <v>4518</v>
      </c>
      <c r="B258" s="1" t="s">
        <v>5704</v>
      </c>
      <c r="C258" s="1" t="s">
        <v>4519</v>
      </c>
      <c r="D258" s="1" t="s">
        <v>4520</v>
      </c>
      <c r="E258" s="2">
        <v>150</v>
      </c>
      <c r="F258" s="2">
        <v>67</v>
      </c>
      <c r="G258" s="3" t="s">
        <v>4521</v>
      </c>
      <c r="H258" s="3" t="s">
        <v>4522</v>
      </c>
      <c r="I258" s="3" t="s">
        <v>4523</v>
      </c>
      <c r="J258" s="44" t="str">
        <f>HYPERLINK("https://www.centcols.org/util/geo/visuGen.php?code=FR-13-0280","FR-13-0280")</f>
        <v>FR-13-0280</v>
      </c>
      <c r="K258" s="3"/>
      <c r="L258" s="1" t="s">
        <v>4524</v>
      </c>
      <c r="M258" s="8">
        <v>40</v>
      </c>
      <c r="N258" s="8">
        <v>15</v>
      </c>
      <c r="O258" s="4"/>
      <c r="P258" s="3"/>
      <c r="Q258" s="3" t="s">
        <v>4525</v>
      </c>
      <c r="R258" s="3" t="s">
        <v>4526</v>
      </c>
      <c r="S258" s="25">
        <v>5.471955</v>
      </c>
      <c r="T258" s="25">
        <v>43.20881</v>
      </c>
      <c r="U258" s="2">
        <v>31</v>
      </c>
      <c r="V258" s="3">
        <v>700805</v>
      </c>
      <c r="W258" s="3">
        <v>4786970</v>
      </c>
      <c r="X258" s="25">
        <v>3.483615</v>
      </c>
      <c r="Y258" s="25">
        <v>48.00976</v>
      </c>
      <c r="Z258" s="6"/>
      <c r="AA258" s="7" t="s">
        <v>5176</v>
      </c>
      <c r="AB258" s="8" t="s">
        <v>4527</v>
      </c>
      <c r="AC258" s="9"/>
      <c r="AD258" s="10">
        <v>1</v>
      </c>
      <c r="AE258" s="31" t="s">
        <v>4528</v>
      </c>
    </row>
    <row r="259" spans="1:31" ht="12.75">
      <c r="A259" s="4" t="s">
        <v>4529</v>
      </c>
      <c r="B259" s="1" t="s">
        <v>6076</v>
      </c>
      <c r="C259" s="1" t="s">
        <v>4348</v>
      </c>
      <c r="D259" s="1" t="s">
        <v>4530</v>
      </c>
      <c r="E259" s="2">
        <v>290</v>
      </c>
      <c r="F259" s="2">
        <v>67</v>
      </c>
      <c r="G259" s="3" t="s">
        <v>4531</v>
      </c>
      <c r="H259" s="3" t="s">
        <v>4532</v>
      </c>
      <c r="I259" s="3" t="s">
        <v>4533</v>
      </c>
      <c r="J259" s="44" t="str">
        <f>HYPERLINK("https://www.centcols.org/util/geo/visuGen.php?code=FR-13-0290a","FR-13-0290a")</f>
        <v>FR-13-0290a</v>
      </c>
      <c r="K259" s="3" t="s">
        <v>4534</v>
      </c>
      <c r="L259" s="1" t="s">
        <v>4535</v>
      </c>
      <c r="M259" s="8">
        <v>0</v>
      </c>
      <c r="N259" s="8">
        <v>0</v>
      </c>
      <c r="O259" s="4"/>
      <c r="P259" s="3"/>
      <c r="Q259" s="3" t="s">
        <v>4536</v>
      </c>
      <c r="R259" s="3" t="s">
        <v>4537</v>
      </c>
      <c r="S259" s="25">
        <v>5.307449955706141</v>
      </c>
      <c r="T259" s="25">
        <v>43.63762955948328</v>
      </c>
      <c r="U259" s="2">
        <v>31</v>
      </c>
      <c r="V259" s="3">
        <v>686122</v>
      </c>
      <c r="W259" s="3">
        <v>4834214</v>
      </c>
      <c r="X259" s="25">
        <v>3.300847274556346</v>
      </c>
      <c r="Y259" s="25">
        <v>48.48623666719991</v>
      </c>
      <c r="Z259" s="6"/>
      <c r="AA259" s="7" t="s">
        <v>5138</v>
      </c>
      <c r="AB259" s="8">
        <v>2005</v>
      </c>
      <c r="AC259" s="9"/>
      <c r="AD259" s="10">
        <v>1</v>
      </c>
      <c r="AE259" s="31" t="s">
        <v>4538</v>
      </c>
    </row>
    <row r="260" spans="1:31" ht="12.75">
      <c r="A260" s="18" t="s">
        <v>4539</v>
      </c>
      <c r="B260" s="20" t="s">
        <v>5574</v>
      </c>
      <c r="C260" s="20" t="s">
        <v>4368</v>
      </c>
      <c r="D260" s="20" t="s">
        <v>4540</v>
      </c>
      <c r="E260" s="19">
        <v>330</v>
      </c>
      <c r="F260" s="19">
        <v>67</v>
      </c>
      <c r="G260" s="19" t="s">
        <v>4468</v>
      </c>
      <c r="H260" s="19" t="s">
        <v>4541</v>
      </c>
      <c r="I260" s="19" t="s">
        <v>4542</v>
      </c>
      <c r="J260" s="44" t="str">
        <f>HYPERLINK("https://www.centcols.org/util/geo/visuGen.php?code=FR-13-0330b","FR-13-0330b")</f>
        <v>FR-13-0330b</v>
      </c>
      <c r="K260" s="19"/>
      <c r="L260" s="20" t="s">
        <v>4524</v>
      </c>
      <c r="M260" s="19">
        <v>40</v>
      </c>
      <c r="N260" s="19">
        <v>15</v>
      </c>
      <c r="O260" s="18"/>
      <c r="P260" s="19"/>
      <c r="Q260" s="19" t="s">
        <v>4543</v>
      </c>
      <c r="R260" s="19" t="s">
        <v>6972</v>
      </c>
      <c r="S260" s="59">
        <v>5.366837</v>
      </c>
      <c r="T260" s="59">
        <v>43.223174</v>
      </c>
      <c r="U260" s="19">
        <v>31</v>
      </c>
      <c r="V260" s="3">
        <v>692221</v>
      </c>
      <c r="W260" s="3">
        <v>4788318</v>
      </c>
      <c r="X260" s="59">
        <v>3.366821</v>
      </c>
      <c r="Y260" s="59">
        <v>48.02572</v>
      </c>
      <c r="Z260" s="18"/>
      <c r="AA260" s="19" t="s">
        <v>5176</v>
      </c>
      <c r="AB260" s="11">
        <v>2019</v>
      </c>
      <c r="AC260" s="60">
        <v>43525</v>
      </c>
      <c r="AD260" s="54"/>
      <c r="AE260" s="61" t="s">
        <v>4544</v>
      </c>
    </row>
    <row r="261" spans="1:31" ht="12.75">
      <c r="A261" s="18" t="s">
        <v>4545</v>
      </c>
      <c r="B261" s="20" t="s">
        <v>5741</v>
      </c>
      <c r="C261" s="20" t="s">
        <v>4546</v>
      </c>
      <c r="D261" s="20" t="s">
        <v>4547</v>
      </c>
      <c r="E261" s="19">
        <v>233</v>
      </c>
      <c r="F261" s="19">
        <v>67</v>
      </c>
      <c r="G261" s="19" t="s">
        <v>4468</v>
      </c>
      <c r="H261" s="19" t="s">
        <v>4548</v>
      </c>
      <c r="I261" s="19" t="s">
        <v>4549</v>
      </c>
      <c r="J261" s="44" t="str">
        <f>HYPERLINK("https://www.centcols.org/util/geo/visuGen.php?code=FR-13-0340","FR-13-0340")</f>
        <v>FR-13-0340</v>
      </c>
      <c r="K261" s="19"/>
      <c r="L261" s="20" t="s">
        <v>4550</v>
      </c>
      <c r="M261" s="19">
        <v>50</v>
      </c>
      <c r="N261" s="19">
        <v>15</v>
      </c>
      <c r="O261" s="18"/>
      <c r="P261" s="19"/>
      <c r="Q261" s="19" t="s">
        <v>4551</v>
      </c>
      <c r="R261" s="19" t="s">
        <v>6973</v>
      </c>
      <c r="S261" s="59">
        <v>5.364462</v>
      </c>
      <c r="T261" s="59">
        <v>43.22</v>
      </c>
      <c r="U261" s="19">
        <v>31</v>
      </c>
      <c r="V261" s="3">
        <v>692038</v>
      </c>
      <c r="W261" s="3">
        <v>4787960</v>
      </c>
      <c r="X261" s="59">
        <v>3.364183</v>
      </c>
      <c r="Y261" s="59">
        <v>48.022194</v>
      </c>
      <c r="Z261" s="18"/>
      <c r="AA261" s="19" t="s">
        <v>5176</v>
      </c>
      <c r="AB261" s="11">
        <v>2019</v>
      </c>
      <c r="AC261" s="60">
        <v>43525</v>
      </c>
      <c r="AD261" s="54"/>
      <c r="AE261" s="61" t="s">
        <v>4552</v>
      </c>
    </row>
    <row r="262" spans="1:31" ht="22.5">
      <c r="A262" s="18" t="s">
        <v>4553</v>
      </c>
      <c r="B262" s="20" t="s">
        <v>4554</v>
      </c>
      <c r="C262" s="20" t="s">
        <v>4555</v>
      </c>
      <c r="D262" s="20" t="s">
        <v>4556</v>
      </c>
      <c r="E262" s="19">
        <v>350</v>
      </c>
      <c r="F262" s="19">
        <v>67</v>
      </c>
      <c r="G262" s="19" t="s">
        <v>4468</v>
      </c>
      <c r="H262" s="19" t="s">
        <v>4557</v>
      </c>
      <c r="I262" s="19" t="s">
        <v>4558</v>
      </c>
      <c r="J262" s="44" t="str">
        <f>HYPERLINK("https://www.centcols.org/util/geo/visuGen.php?code=FR-13-0350","FR-13-0350")</f>
        <v>FR-13-0350</v>
      </c>
      <c r="K262" s="19"/>
      <c r="L262" s="20" t="s">
        <v>5176</v>
      </c>
      <c r="M262" s="19">
        <v>99</v>
      </c>
      <c r="N262" s="19">
        <v>15</v>
      </c>
      <c r="O262" s="18"/>
      <c r="P262" s="19"/>
      <c r="Q262" s="19" t="s">
        <v>4559</v>
      </c>
      <c r="R262" s="19" t="s">
        <v>6974</v>
      </c>
      <c r="S262" s="59">
        <v>5.391888</v>
      </c>
      <c r="T262" s="59">
        <v>43.217579</v>
      </c>
      <c r="U262" s="19">
        <v>31</v>
      </c>
      <c r="V262" s="3">
        <v>694273</v>
      </c>
      <c r="W262" s="3">
        <v>4787755</v>
      </c>
      <c r="X262" s="59">
        <v>3.394656</v>
      </c>
      <c r="Y262" s="59">
        <v>48.019504</v>
      </c>
      <c r="Z262" s="18"/>
      <c r="AA262" s="19" t="s">
        <v>5176</v>
      </c>
      <c r="AB262" s="11">
        <v>2019</v>
      </c>
      <c r="AC262" s="60">
        <v>43525</v>
      </c>
      <c r="AD262" s="54"/>
      <c r="AE262" s="61" t="s">
        <v>4560</v>
      </c>
    </row>
    <row r="263" spans="1:31" ht="12.75">
      <c r="A263" s="4" t="s">
        <v>4561</v>
      </c>
      <c r="B263" s="1" t="s">
        <v>5128</v>
      </c>
      <c r="C263" s="1" t="s">
        <v>4562</v>
      </c>
      <c r="D263" s="1" t="s">
        <v>4563</v>
      </c>
      <c r="E263" s="2">
        <v>429</v>
      </c>
      <c r="F263" s="2">
        <v>67</v>
      </c>
      <c r="G263" s="3" t="s">
        <v>4564</v>
      </c>
      <c r="H263" s="3" t="s">
        <v>4565</v>
      </c>
      <c r="I263" s="3" t="s">
        <v>4566</v>
      </c>
      <c r="J263" s="44" t="str">
        <f>HYPERLINK("https://www.centcols.org/util/geo/visuGen.php?code=FR-13-0429","FR-13-0429")</f>
        <v>FR-13-0429</v>
      </c>
      <c r="K263" s="3" t="s">
        <v>4567</v>
      </c>
      <c r="L263" s="1" t="s">
        <v>3860</v>
      </c>
      <c r="M263" s="8">
        <v>0</v>
      </c>
      <c r="N263" s="8">
        <v>0</v>
      </c>
      <c r="O263" s="4"/>
      <c r="P263" s="3"/>
      <c r="Q263" s="3" t="s">
        <v>4568</v>
      </c>
      <c r="R263" s="3" t="s">
        <v>4569</v>
      </c>
      <c r="S263" s="25">
        <v>5.678295395976557</v>
      </c>
      <c r="T263" s="25">
        <v>43.67267142740365</v>
      </c>
      <c r="U263" s="2">
        <v>31</v>
      </c>
      <c r="V263" s="3">
        <v>715911</v>
      </c>
      <c r="W263" s="3">
        <v>4839004</v>
      </c>
      <c r="X263" s="25">
        <v>3.7128847441918933</v>
      </c>
      <c r="Y263" s="25">
        <v>48.52517019618213</v>
      </c>
      <c r="Z263" s="6"/>
      <c r="AA263" s="7" t="s">
        <v>5138</v>
      </c>
      <c r="AB263" s="8" t="s">
        <v>5571</v>
      </c>
      <c r="AC263" s="9">
        <v>41302</v>
      </c>
      <c r="AD263" s="10">
        <v>17</v>
      </c>
      <c r="AE263" s="31" t="s">
        <v>4570</v>
      </c>
    </row>
    <row r="264" spans="1:31" ht="12.75">
      <c r="A264" s="4" t="s">
        <v>4571</v>
      </c>
      <c r="B264" s="1" t="s">
        <v>4572</v>
      </c>
      <c r="C264" s="1" t="s">
        <v>4573</v>
      </c>
      <c r="D264" s="1" t="s">
        <v>4574</v>
      </c>
      <c r="E264" s="2">
        <v>456</v>
      </c>
      <c r="F264" s="2">
        <v>67</v>
      </c>
      <c r="G264" s="3" t="s">
        <v>4510</v>
      </c>
      <c r="H264" s="3" t="s">
        <v>4575</v>
      </c>
      <c r="I264" s="3" t="s">
        <v>4576</v>
      </c>
      <c r="J264" s="44" t="str">
        <f>HYPERLINK("https://www.centcols.org/util/geo/visuGen.php?code=FR-13-0456","FR-13-0456")</f>
        <v>FR-13-0456</v>
      </c>
      <c r="K264" s="3"/>
      <c r="L264" s="1" t="s">
        <v>3819</v>
      </c>
      <c r="M264" s="8">
        <v>99</v>
      </c>
      <c r="N264" s="8">
        <v>10</v>
      </c>
      <c r="O264" s="4"/>
      <c r="P264" s="3"/>
      <c r="Q264" s="3" t="s">
        <v>4577</v>
      </c>
      <c r="R264" s="3" t="s">
        <v>4578</v>
      </c>
      <c r="S264" s="25">
        <v>5.62710698189037</v>
      </c>
      <c r="T264" s="25">
        <v>43.5113022794438</v>
      </c>
      <c r="U264" s="2">
        <v>31</v>
      </c>
      <c r="V264" s="3">
        <v>712351</v>
      </c>
      <c r="W264" s="3">
        <v>4820950</v>
      </c>
      <c r="X264" s="25">
        <v>3.656007518067949</v>
      </c>
      <c r="Y264" s="25">
        <v>48.34586800589505</v>
      </c>
      <c r="Z264" s="6"/>
      <c r="AA264" s="7" t="s">
        <v>5138</v>
      </c>
      <c r="AB264" s="8">
        <v>2018</v>
      </c>
      <c r="AC264" s="57">
        <v>43199</v>
      </c>
      <c r="AD264" s="10"/>
      <c r="AE264" s="31" t="s">
        <v>7017</v>
      </c>
    </row>
    <row r="265" spans="1:31" ht="12.75">
      <c r="A265" s="18" t="s">
        <v>6824</v>
      </c>
      <c r="B265" s="50" t="s">
        <v>5741</v>
      </c>
      <c r="C265" s="50" t="s">
        <v>6825</v>
      </c>
      <c r="D265" s="50" t="s">
        <v>6826</v>
      </c>
      <c r="E265" s="24">
        <v>500</v>
      </c>
      <c r="F265" s="24">
        <v>67</v>
      </c>
      <c r="G265" s="24" t="s">
        <v>4521</v>
      </c>
      <c r="H265" s="24" t="s">
        <v>6827</v>
      </c>
      <c r="I265" s="24" t="s">
        <v>6828</v>
      </c>
      <c r="J265" s="81" t="str">
        <f>HYPERLINK("https://www.centcols.org/util/geo/visuGen.php?code=FR-13-0500b","FR-13-0500b")</f>
        <v>FR-13-0500b</v>
      </c>
      <c r="K265" s="51"/>
      <c r="L265" s="50" t="s">
        <v>4524</v>
      </c>
      <c r="M265" s="24">
        <v>40</v>
      </c>
      <c r="N265" s="24">
        <v>15</v>
      </c>
      <c r="O265" s="51"/>
      <c r="P265" s="51"/>
      <c r="Q265" s="24" t="s">
        <v>6829</v>
      </c>
      <c r="R265" s="24" t="s">
        <v>6830</v>
      </c>
      <c r="S265" s="25">
        <v>5.522055</v>
      </c>
      <c r="T265" s="25">
        <v>43.350841</v>
      </c>
      <c r="U265" s="24">
        <v>31</v>
      </c>
      <c r="V265" s="3">
        <v>704399</v>
      </c>
      <c r="W265" s="3">
        <v>4802865</v>
      </c>
      <c r="X265" s="25">
        <v>3.539285</v>
      </c>
      <c r="Y265" s="25">
        <v>48.167575</v>
      </c>
      <c r="Z265" s="53"/>
      <c r="AA265" s="19" t="s">
        <v>5176</v>
      </c>
      <c r="AB265" s="52">
        <v>2020</v>
      </c>
      <c r="AC265" s="9">
        <v>43974</v>
      </c>
      <c r="AD265" s="53"/>
      <c r="AE265" s="23" t="s">
        <v>6831</v>
      </c>
    </row>
    <row r="266" spans="1:31" ht="12.75">
      <c r="A266" s="4" t="s">
        <v>4579</v>
      </c>
      <c r="B266" s="1" t="s">
        <v>5991</v>
      </c>
      <c r="C266" s="1" t="s">
        <v>4580</v>
      </c>
      <c r="D266" s="1" t="s">
        <v>4581</v>
      </c>
      <c r="E266" s="2">
        <v>533</v>
      </c>
      <c r="F266" s="2">
        <v>67</v>
      </c>
      <c r="G266" s="3" t="s">
        <v>4510</v>
      </c>
      <c r="H266" s="3" t="s">
        <v>4582</v>
      </c>
      <c r="I266" s="3" t="s">
        <v>4583</v>
      </c>
      <c r="J266" s="44" t="str">
        <f>HYPERLINK("https://www.centcols.org/util/geo/visuGen.php?code=FR-13-0509","FR-13-0509")</f>
        <v>FR-13-0509</v>
      </c>
      <c r="K266" s="3"/>
      <c r="L266" s="1" t="s">
        <v>5176</v>
      </c>
      <c r="M266" s="8">
        <v>99</v>
      </c>
      <c r="N266" s="8">
        <v>15</v>
      </c>
      <c r="O266" s="4"/>
      <c r="P266" s="3"/>
      <c r="Q266" s="3" t="s">
        <v>4584</v>
      </c>
      <c r="R266" s="3" t="s">
        <v>4585</v>
      </c>
      <c r="S266" s="25">
        <v>5.7200676551811505</v>
      </c>
      <c r="T266" s="25">
        <v>43.53902702375704</v>
      </c>
      <c r="U266" s="2">
        <v>31</v>
      </c>
      <c r="V266" s="3">
        <v>719765</v>
      </c>
      <c r="W266" s="3">
        <v>4824270</v>
      </c>
      <c r="X266" s="25">
        <v>3.759294204277022</v>
      </c>
      <c r="Y266" s="25">
        <v>48.37667313854546</v>
      </c>
      <c r="Z266" s="6"/>
      <c r="AA266" s="7" t="s">
        <v>5138</v>
      </c>
      <c r="AB266" s="8">
        <v>2008</v>
      </c>
      <c r="AC266" s="9"/>
      <c r="AD266" s="10">
        <v>1</v>
      </c>
      <c r="AE266" s="31" t="s">
        <v>4586</v>
      </c>
    </row>
    <row r="267" spans="1:31" ht="12.75">
      <c r="A267" s="4" t="s">
        <v>4587</v>
      </c>
      <c r="B267" s="1" t="s">
        <v>5656</v>
      </c>
      <c r="C267" s="1" t="s">
        <v>4588</v>
      </c>
      <c r="D267" s="1" t="s">
        <v>4589</v>
      </c>
      <c r="E267" s="2">
        <v>540</v>
      </c>
      <c r="F267" s="2">
        <v>67</v>
      </c>
      <c r="G267" s="3" t="s">
        <v>4521</v>
      </c>
      <c r="H267" s="3" t="s">
        <v>4590</v>
      </c>
      <c r="I267" s="3" t="s">
        <v>4591</v>
      </c>
      <c r="J267" s="44" t="str">
        <f>HYPERLINK("https://www.centcols.org/util/geo/visuGen.php?code=FR-13-0540","FR-13-0540")</f>
        <v>FR-13-0540</v>
      </c>
      <c r="K267" s="3"/>
      <c r="L267" s="1" t="s">
        <v>4592</v>
      </c>
      <c r="M267" s="8">
        <v>40</v>
      </c>
      <c r="N267" s="8">
        <v>15</v>
      </c>
      <c r="O267" s="4"/>
      <c r="P267" s="3"/>
      <c r="Q267" s="3" t="s">
        <v>4593</v>
      </c>
      <c r="R267" s="3" t="s">
        <v>4594</v>
      </c>
      <c r="S267" s="25">
        <v>5.551563116003061</v>
      </c>
      <c r="T267" s="25">
        <v>43.3315594890411</v>
      </c>
      <c r="U267" s="2">
        <v>31</v>
      </c>
      <c r="V267" s="3">
        <v>706856</v>
      </c>
      <c r="W267" s="3">
        <v>4800797</v>
      </c>
      <c r="X267" s="25">
        <v>3.572069679570595</v>
      </c>
      <c r="Y267" s="25">
        <v>48.1461501715144</v>
      </c>
      <c r="Z267" s="6"/>
      <c r="AA267" s="7" t="s">
        <v>5176</v>
      </c>
      <c r="AB267" s="8" t="s">
        <v>4527</v>
      </c>
      <c r="AC267" s="9"/>
      <c r="AD267" s="10">
        <v>1</v>
      </c>
      <c r="AE267" s="31" t="s">
        <v>4595</v>
      </c>
    </row>
    <row r="268" spans="1:31" ht="12.75">
      <c r="A268" s="4" t="s">
        <v>4596</v>
      </c>
      <c r="B268" s="1" t="s">
        <v>4347</v>
      </c>
      <c r="C268" s="1" t="s">
        <v>4597</v>
      </c>
      <c r="D268" s="1" t="s">
        <v>4598</v>
      </c>
      <c r="E268" s="2">
        <v>580</v>
      </c>
      <c r="F268" s="2">
        <v>67</v>
      </c>
      <c r="G268" s="3" t="s">
        <v>4521</v>
      </c>
      <c r="H268" s="3" t="s">
        <v>4599</v>
      </c>
      <c r="I268" s="3" t="s">
        <v>4600</v>
      </c>
      <c r="J268" s="44" t="str">
        <f>HYPERLINK("https://www.centcols.org/util/geo/visuGen.php?code=FR-13-0630","FR-13-0630")</f>
        <v>FR-13-0630</v>
      </c>
      <c r="K268" s="3"/>
      <c r="L268" s="1" t="s">
        <v>5726</v>
      </c>
      <c r="M268" s="8">
        <v>99</v>
      </c>
      <c r="N268" s="8">
        <v>15</v>
      </c>
      <c r="O268" s="4"/>
      <c r="P268" s="3"/>
      <c r="Q268" s="3" t="s">
        <v>4601</v>
      </c>
      <c r="R268" s="3" t="s">
        <v>4602</v>
      </c>
      <c r="S268" s="25">
        <v>5.544748266790548</v>
      </c>
      <c r="T268" s="25">
        <v>43.33684065646559</v>
      </c>
      <c r="U268" s="2">
        <v>31</v>
      </c>
      <c r="V268" s="3">
        <v>706286</v>
      </c>
      <c r="W268" s="3">
        <v>4801366</v>
      </c>
      <c r="X268" s="25">
        <v>3.564498044627439</v>
      </c>
      <c r="Y268" s="25">
        <v>48.15201832826777</v>
      </c>
      <c r="Z268" s="6"/>
      <c r="AA268" s="7" t="s">
        <v>5176</v>
      </c>
      <c r="AB268" s="8" t="s">
        <v>4527</v>
      </c>
      <c r="AC268" s="9"/>
      <c r="AD268" s="10">
        <v>1</v>
      </c>
      <c r="AE268" s="31" t="s">
        <v>4595</v>
      </c>
    </row>
    <row r="269" spans="1:31" ht="12.75">
      <c r="A269" s="4" t="s">
        <v>4603</v>
      </c>
      <c r="B269" s="1" t="s">
        <v>5574</v>
      </c>
      <c r="C269" s="1" t="s">
        <v>4604</v>
      </c>
      <c r="D269" s="1" t="s">
        <v>4605</v>
      </c>
      <c r="E269" s="2">
        <v>720</v>
      </c>
      <c r="F269" s="2">
        <v>67</v>
      </c>
      <c r="G269" s="3" t="s">
        <v>4606</v>
      </c>
      <c r="H269" s="3" t="s">
        <v>4607</v>
      </c>
      <c r="I269" s="3" t="s">
        <v>4608</v>
      </c>
      <c r="J269" s="44" t="str">
        <f>HYPERLINK("https://www.centcols.org/util/geo/visuGen.php?code=FR-13-0720","FR-13-0720")</f>
        <v>FR-13-0720</v>
      </c>
      <c r="K269" s="3"/>
      <c r="L269" s="1" t="s">
        <v>5726</v>
      </c>
      <c r="M269" s="8">
        <v>99</v>
      </c>
      <c r="N269" s="8">
        <v>15</v>
      </c>
      <c r="O269" s="4"/>
      <c r="P269" s="3"/>
      <c r="Q269" s="3" t="s">
        <v>4609</v>
      </c>
      <c r="R269" s="3" t="s">
        <v>4610</v>
      </c>
      <c r="S269" s="25">
        <v>5.728020428722525</v>
      </c>
      <c r="T269" s="25">
        <v>43.32376452489867</v>
      </c>
      <c r="U269" s="2">
        <v>31</v>
      </c>
      <c r="V269" s="3">
        <v>721190</v>
      </c>
      <c r="W269" s="3">
        <v>4800384</v>
      </c>
      <c r="X269" s="25">
        <v>3.768125863672004</v>
      </c>
      <c r="Y269" s="25">
        <v>48.137487131648314</v>
      </c>
      <c r="Z269" s="6"/>
      <c r="AA269" s="7" t="s">
        <v>5138</v>
      </c>
      <c r="AB269" s="8">
        <v>2006</v>
      </c>
      <c r="AC269" s="9"/>
      <c r="AD269" s="10">
        <v>1</v>
      </c>
      <c r="AE269" s="31" t="s">
        <v>4236</v>
      </c>
    </row>
    <row r="270" spans="1:31" ht="12.75">
      <c r="A270" s="4" t="s">
        <v>4611</v>
      </c>
      <c r="B270" s="1" t="s">
        <v>4612</v>
      </c>
      <c r="C270" s="1" t="s">
        <v>4613</v>
      </c>
      <c r="D270" s="1" t="s">
        <v>4614</v>
      </c>
      <c r="E270" s="2">
        <v>900</v>
      </c>
      <c r="F270" s="2">
        <v>67</v>
      </c>
      <c r="G270" s="3" t="s">
        <v>4606</v>
      </c>
      <c r="H270" s="3" t="s">
        <v>4615</v>
      </c>
      <c r="I270" s="3" t="s">
        <v>4616</v>
      </c>
      <c r="J270" s="44" t="str">
        <f>HYPERLINK("https://www.centcols.org/util/geo/visuGen.php?code=FR-13-0961","FR-13-0961")</f>
        <v>FR-13-0961</v>
      </c>
      <c r="K270" s="3"/>
      <c r="L270" s="1"/>
      <c r="M270" s="8">
        <v>99</v>
      </c>
      <c r="N270" s="8">
        <v>20</v>
      </c>
      <c r="O270" s="4"/>
      <c r="P270" s="3"/>
      <c r="Q270" s="3" t="s">
        <v>4617</v>
      </c>
      <c r="R270" s="3" t="s">
        <v>4618</v>
      </c>
      <c r="S270" s="25">
        <v>5.701316528722475</v>
      </c>
      <c r="T270" s="25">
        <v>43.3087461094357</v>
      </c>
      <c r="U270" s="2">
        <v>31</v>
      </c>
      <c r="V270" s="3">
        <v>719079</v>
      </c>
      <c r="W270" s="3">
        <v>4798645</v>
      </c>
      <c r="X270" s="25">
        <v>3.738455529365498</v>
      </c>
      <c r="Y270" s="25">
        <v>48.12079986636575</v>
      </c>
      <c r="Z270" s="6"/>
      <c r="AA270" s="7" t="s">
        <v>5176</v>
      </c>
      <c r="AB270" s="8" t="s">
        <v>5711</v>
      </c>
      <c r="AC270" s="9"/>
      <c r="AD270" s="10">
        <v>1</v>
      </c>
      <c r="AE270" s="31" t="s">
        <v>4619</v>
      </c>
    </row>
    <row r="271" spans="1:31" ht="12.75">
      <c r="A271" s="4" t="s">
        <v>4620</v>
      </c>
      <c r="B271" s="1" t="s">
        <v>5262</v>
      </c>
      <c r="C271" s="1" t="s">
        <v>6402</v>
      </c>
      <c r="D271" s="1" t="s">
        <v>6402</v>
      </c>
      <c r="E271" s="2">
        <v>550</v>
      </c>
      <c r="F271" s="2">
        <v>58</v>
      </c>
      <c r="G271" s="3" t="s">
        <v>4340</v>
      </c>
      <c r="H271" s="3" t="s">
        <v>4621</v>
      </c>
      <c r="I271" s="3" t="s">
        <v>4622</v>
      </c>
      <c r="J271" s="44" t="str">
        <f>HYPERLINK("https://www.centcols.org/util/geo/visuGen.php?code=FR-15-0550","FR-15-0550")</f>
        <v>FR-15-0550</v>
      </c>
      <c r="K271" s="3" t="s">
        <v>4623</v>
      </c>
      <c r="L271" s="1" t="s">
        <v>4624</v>
      </c>
      <c r="M271" s="8">
        <v>0</v>
      </c>
      <c r="N271" s="8">
        <v>0</v>
      </c>
      <c r="O271" s="4"/>
      <c r="P271" s="3"/>
      <c r="Q271" s="3" t="s">
        <v>4625</v>
      </c>
      <c r="R271" s="3" t="s">
        <v>4626</v>
      </c>
      <c r="S271" s="25">
        <v>2.4392088403619177</v>
      </c>
      <c r="T271" s="25">
        <v>44.721187577290735</v>
      </c>
      <c r="U271" s="2">
        <v>31</v>
      </c>
      <c r="V271" s="3">
        <v>455587</v>
      </c>
      <c r="W271" s="3">
        <v>4952132</v>
      </c>
      <c r="X271" s="25">
        <v>0.11405345626987023</v>
      </c>
      <c r="Y271" s="25">
        <v>49.690239461036796</v>
      </c>
      <c r="Z271" s="6"/>
      <c r="AA271" s="7" t="s">
        <v>5138</v>
      </c>
      <c r="AB271" s="8">
        <v>2005</v>
      </c>
      <c r="AC271" s="9"/>
      <c r="AD271" s="10">
        <v>1</v>
      </c>
      <c r="AE271" s="31" t="s">
        <v>4538</v>
      </c>
    </row>
    <row r="272" spans="1:31" ht="12.75">
      <c r="A272" s="4" t="s">
        <v>4627</v>
      </c>
      <c r="B272" s="1" t="s">
        <v>5815</v>
      </c>
      <c r="C272" s="1" t="s">
        <v>4628</v>
      </c>
      <c r="D272" s="1" t="s">
        <v>4629</v>
      </c>
      <c r="E272" s="2">
        <v>1190</v>
      </c>
      <c r="F272" s="2">
        <v>49</v>
      </c>
      <c r="G272" s="3" t="s">
        <v>4630</v>
      </c>
      <c r="H272" s="3" t="s">
        <v>4631</v>
      </c>
      <c r="I272" s="3" t="s">
        <v>4632</v>
      </c>
      <c r="J272" s="44" t="str">
        <f>HYPERLINK("https://www.centcols.org/util/geo/visuGen.php?code=FR-15-1213","FR-15-1213")</f>
        <v>FR-15-1213</v>
      </c>
      <c r="K272" s="3" t="s">
        <v>4633</v>
      </c>
      <c r="L272" s="1" t="s">
        <v>5688</v>
      </c>
      <c r="M272" s="8">
        <v>0</v>
      </c>
      <c r="N272" s="8">
        <v>0</v>
      </c>
      <c r="O272" s="4"/>
      <c r="P272" s="3"/>
      <c r="Q272" s="3" t="s">
        <v>4634</v>
      </c>
      <c r="R272" s="3" t="s">
        <v>4635</v>
      </c>
      <c r="S272" s="25">
        <v>2.821896100775295</v>
      </c>
      <c r="T272" s="25">
        <v>45.140564712091674</v>
      </c>
      <c r="U272" s="2">
        <v>31</v>
      </c>
      <c r="V272" s="3">
        <v>485997</v>
      </c>
      <c r="W272" s="3">
        <v>4998581</v>
      </c>
      <c r="X272" s="25">
        <v>0.5392536065235337</v>
      </c>
      <c r="Y272" s="25">
        <v>50.15621592948823</v>
      </c>
      <c r="Z272" s="6"/>
      <c r="AA272" s="7" t="s">
        <v>5176</v>
      </c>
      <c r="AB272" s="8" t="s">
        <v>4636</v>
      </c>
      <c r="AC272" s="9"/>
      <c r="AD272" s="10">
        <v>1</v>
      </c>
      <c r="AE272" s="31" t="s">
        <v>4637</v>
      </c>
    </row>
    <row r="273" spans="1:31" ht="12.75">
      <c r="A273" s="4" t="s">
        <v>4638</v>
      </c>
      <c r="B273" s="1" t="s">
        <v>5815</v>
      </c>
      <c r="C273" s="1" t="s">
        <v>4639</v>
      </c>
      <c r="D273" s="1" t="s">
        <v>4640</v>
      </c>
      <c r="E273" s="2">
        <v>1285</v>
      </c>
      <c r="F273" s="2">
        <v>58</v>
      </c>
      <c r="G273" s="3" t="s">
        <v>4641</v>
      </c>
      <c r="H273" s="3" t="s">
        <v>4642</v>
      </c>
      <c r="I273" s="3" t="s">
        <v>4643</v>
      </c>
      <c r="J273" s="44" t="str">
        <f>HYPERLINK("https://www.centcols.org/util/geo/visuGen.php?code=FR-15-1285","FR-15-1285")</f>
        <v>FR-15-1285</v>
      </c>
      <c r="K273" s="3" t="s">
        <v>4644</v>
      </c>
      <c r="L273" s="1" t="s">
        <v>4645</v>
      </c>
      <c r="M273" s="8">
        <v>0</v>
      </c>
      <c r="N273" s="8">
        <v>0</v>
      </c>
      <c r="O273" s="4"/>
      <c r="P273" s="3"/>
      <c r="Q273" s="3" t="s">
        <v>4646</v>
      </c>
      <c r="R273" s="3" t="s">
        <v>4647</v>
      </c>
      <c r="S273" s="25">
        <v>2.9412479122939845</v>
      </c>
      <c r="T273" s="25">
        <v>44.692644187719175</v>
      </c>
      <c r="U273" s="2">
        <v>31</v>
      </c>
      <c r="V273" s="3">
        <v>495345</v>
      </c>
      <c r="W273" s="3">
        <v>4948810</v>
      </c>
      <c r="X273" s="25">
        <v>0.6718505519798372</v>
      </c>
      <c r="Y273" s="25">
        <v>49.65851799123025</v>
      </c>
      <c r="Z273" s="6"/>
      <c r="AA273" s="7" t="s">
        <v>5138</v>
      </c>
      <c r="AB273" s="8" t="s">
        <v>5571</v>
      </c>
      <c r="AC273" s="9"/>
      <c r="AD273" s="10">
        <v>1</v>
      </c>
      <c r="AE273" s="31" t="s">
        <v>4648</v>
      </c>
    </row>
    <row r="274" spans="1:31" ht="12.75">
      <c r="A274" s="50" t="s">
        <v>4649</v>
      </c>
      <c r="B274" s="62" t="s">
        <v>5128</v>
      </c>
      <c r="C274" s="62" t="s">
        <v>4650</v>
      </c>
      <c r="D274" s="62" t="s">
        <v>4651</v>
      </c>
      <c r="E274" s="24">
        <v>1480</v>
      </c>
      <c r="F274" s="24">
        <v>49</v>
      </c>
      <c r="G274" s="24" t="s">
        <v>4630</v>
      </c>
      <c r="H274" s="24" t="s">
        <v>4652</v>
      </c>
      <c r="I274" s="24" t="s">
        <v>4653</v>
      </c>
      <c r="J274" s="44" t="str">
        <f>HYPERLINK("https://www.centcols.org/util/geo/visuGen.php?code=FR-15-1480","FR-15-1480")</f>
        <v>FR-15-1480</v>
      </c>
      <c r="K274" s="19"/>
      <c r="L274" s="62" t="s">
        <v>4654</v>
      </c>
      <c r="M274" s="24">
        <v>99</v>
      </c>
      <c r="N274" s="24">
        <v>15</v>
      </c>
      <c r="O274" s="18"/>
      <c r="P274" s="19"/>
      <c r="Q274" s="24" t="s">
        <v>4655</v>
      </c>
      <c r="R274" s="24" t="s">
        <v>6985</v>
      </c>
      <c r="S274" s="25">
        <v>2.759306</v>
      </c>
      <c r="T274" s="25">
        <v>45.076136</v>
      </c>
      <c r="U274" s="24">
        <v>31</v>
      </c>
      <c r="V274" s="3">
        <v>481055</v>
      </c>
      <c r="W274" s="3">
        <v>4991436</v>
      </c>
      <c r="X274" s="25">
        <v>0.469709</v>
      </c>
      <c r="Y274" s="25">
        <v>50.084628</v>
      </c>
      <c r="Z274" s="18"/>
      <c r="AA274" s="19" t="s">
        <v>5138</v>
      </c>
      <c r="AB274" s="11">
        <v>2019</v>
      </c>
      <c r="AC274" s="60">
        <v>43525</v>
      </c>
      <c r="AD274" s="54"/>
      <c r="AE274" s="61" t="s">
        <v>4656</v>
      </c>
    </row>
    <row r="275" spans="1:31" ht="12.75">
      <c r="A275" s="4" t="s">
        <v>4657</v>
      </c>
      <c r="B275" s="1" t="s">
        <v>5741</v>
      </c>
      <c r="C275" s="1" t="s">
        <v>4658</v>
      </c>
      <c r="D275" s="1" t="s">
        <v>4659</v>
      </c>
      <c r="E275" s="2">
        <v>125</v>
      </c>
      <c r="F275" s="2">
        <v>40</v>
      </c>
      <c r="G275" s="3" t="s">
        <v>4660</v>
      </c>
      <c r="H275" s="3" t="s">
        <v>4661</v>
      </c>
      <c r="I275" s="3" t="s">
        <v>4662</v>
      </c>
      <c r="J275" s="44" t="str">
        <f>HYPERLINK("https://www.centcols.org/util/geo/visuGen.php?code=FR-17-0125","FR-17-0125")</f>
        <v>FR-17-0125</v>
      </c>
      <c r="K275" s="3"/>
      <c r="L275" s="1" t="s">
        <v>5138</v>
      </c>
      <c r="M275" s="8">
        <v>35</v>
      </c>
      <c r="N275" s="8">
        <v>10</v>
      </c>
      <c r="O275" s="4"/>
      <c r="P275" s="3"/>
      <c r="Q275" s="3" t="s">
        <v>4663</v>
      </c>
      <c r="R275" s="3" t="s">
        <v>4664</v>
      </c>
      <c r="S275" s="25">
        <v>-0.16124</v>
      </c>
      <c r="T275" s="25">
        <v>45.945803</v>
      </c>
      <c r="U275" s="2">
        <v>30</v>
      </c>
      <c r="V275" s="3">
        <v>720023</v>
      </c>
      <c r="W275" s="3">
        <v>5091945</v>
      </c>
      <c r="X275" s="25">
        <v>-2.775194</v>
      </c>
      <c r="Y275" s="25">
        <v>51.050963</v>
      </c>
      <c r="Z275" s="6"/>
      <c r="AA275" s="7" t="s">
        <v>5138</v>
      </c>
      <c r="AB275" s="8">
        <v>2017</v>
      </c>
      <c r="AC275" s="9"/>
      <c r="AD275" s="10"/>
      <c r="AE275" s="31" t="s">
        <v>5149</v>
      </c>
    </row>
    <row r="276" spans="1:31" ht="12.75">
      <c r="A276" s="4" t="s">
        <v>4665</v>
      </c>
      <c r="B276" s="1" t="s">
        <v>5589</v>
      </c>
      <c r="C276" s="1" t="s">
        <v>4666</v>
      </c>
      <c r="D276" s="1" t="s">
        <v>4667</v>
      </c>
      <c r="E276" s="2">
        <v>235</v>
      </c>
      <c r="F276" s="2">
        <v>48</v>
      </c>
      <c r="G276" s="3" t="s">
        <v>4668</v>
      </c>
      <c r="H276" s="3" t="s">
        <v>4669</v>
      </c>
      <c r="I276" s="3" t="s">
        <v>4670</v>
      </c>
      <c r="J276" s="44" t="str">
        <f>HYPERLINK("https://www.centcols.org/util/geo/visuGen.php?code=FR-19-0235","FR-19-0235")</f>
        <v>FR-19-0235</v>
      </c>
      <c r="K276" s="3" t="s">
        <v>4671</v>
      </c>
      <c r="L276" s="1" t="s">
        <v>4672</v>
      </c>
      <c r="M276" s="8">
        <v>0</v>
      </c>
      <c r="N276" s="8">
        <v>0</v>
      </c>
      <c r="O276" s="4"/>
      <c r="P276" s="3"/>
      <c r="Q276" s="3" t="s">
        <v>4673</v>
      </c>
      <c r="R276" s="3" t="s">
        <v>4674</v>
      </c>
      <c r="S276" s="25">
        <v>1.408085</v>
      </c>
      <c r="T276" s="25">
        <v>45.17435</v>
      </c>
      <c r="U276" s="2">
        <v>31</v>
      </c>
      <c r="V276" s="3">
        <v>374914</v>
      </c>
      <c r="W276" s="3">
        <v>5003551</v>
      </c>
      <c r="X276" s="25">
        <v>-1.031585</v>
      </c>
      <c r="Y276" s="25">
        <v>50.193769</v>
      </c>
      <c r="Z276" s="6"/>
      <c r="AA276" s="7" t="s">
        <v>5138</v>
      </c>
      <c r="AB276" s="8">
        <v>2016</v>
      </c>
      <c r="AC276" s="9">
        <v>42593</v>
      </c>
      <c r="AD276" s="10"/>
      <c r="AE276" s="31" t="s">
        <v>4675</v>
      </c>
    </row>
    <row r="277" spans="1:31" ht="12.75">
      <c r="A277" s="4" t="s">
        <v>4676</v>
      </c>
      <c r="B277" s="1" t="s">
        <v>5923</v>
      </c>
      <c r="C277" s="1" t="s">
        <v>4677</v>
      </c>
      <c r="D277" s="1" t="s">
        <v>4678</v>
      </c>
      <c r="E277" s="2">
        <v>313</v>
      </c>
      <c r="F277" s="2">
        <v>28</v>
      </c>
      <c r="G277" s="3" t="s">
        <v>4679</v>
      </c>
      <c r="H277" s="3" t="s">
        <v>4680</v>
      </c>
      <c r="I277" s="3" t="s">
        <v>4681</v>
      </c>
      <c r="J277" s="44" t="str">
        <f>HYPERLINK("https://www.centcols.org/util/geo/visuGen.php?code=FR-21-0313","FR-21-0313")</f>
        <v>FR-21-0313</v>
      </c>
      <c r="K277" s="3" t="s">
        <v>4682</v>
      </c>
      <c r="L277" s="1" t="s">
        <v>4683</v>
      </c>
      <c r="M277" s="8">
        <v>0</v>
      </c>
      <c r="N277" s="8">
        <v>0</v>
      </c>
      <c r="O277" s="4"/>
      <c r="P277" s="3"/>
      <c r="Q277" s="3" t="s">
        <v>4684</v>
      </c>
      <c r="R277" s="3" t="s">
        <v>4685</v>
      </c>
      <c r="S277" s="25">
        <v>4.519899682689824</v>
      </c>
      <c r="T277" s="25">
        <v>47.533745165855606</v>
      </c>
      <c r="U277" s="2">
        <v>31</v>
      </c>
      <c r="V277" s="3">
        <v>614394</v>
      </c>
      <c r="W277" s="3">
        <v>5265599</v>
      </c>
      <c r="X277" s="25">
        <v>2.4258723225477827</v>
      </c>
      <c r="Y277" s="25">
        <v>52.81533783815431</v>
      </c>
      <c r="Z277" s="6"/>
      <c r="AA277" s="7" t="s">
        <v>5138</v>
      </c>
      <c r="AB277" s="8">
        <v>2008</v>
      </c>
      <c r="AC277" s="9"/>
      <c r="AD277" s="10">
        <v>1</v>
      </c>
      <c r="AE277" s="31" t="s">
        <v>4686</v>
      </c>
    </row>
    <row r="278" spans="1:31" ht="12.75">
      <c r="A278" s="4" t="s">
        <v>4687</v>
      </c>
      <c r="B278" s="1" t="s">
        <v>4688</v>
      </c>
      <c r="C278" s="1" t="s">
        <v>4689</v>
      </c>
      <c r="D278" s="1" t="s">
        <v>4690</v>
      </c>
      <c r="E278" s="2">
        <v>442</v>
      </c>
      <c r="F278" s="2">
        <v>29</v>
      </c>
      <c r="G278" s="3" t="s">
        <v>4691</v>
      </c>
      <c r="H278" s="3" t="s">
        <v>4692</v>
      </c>
      <c r="I278" s="3" t="s">
        <v>4693</v>
      </c>
      <c r="J278" s="44" t="str">
        <f>HYPERLINK("https://www.centcols.org/util/geo/visuGen.php?code=FR-21-0442","FR-21-0442")</f>
        <v>FR-21-0442</v>
      </c>
      <c r="K278" s="3"/>
      <c r="L278" s="1" t="s">
        <v>4694</v>
      </c>
      <c r="M278" s="8">
        <v>99</v>
      </c>
      <c r="N278" s="8">
        <v>10</v>
      </c>
      <c r="O278" s="4"/>
      <c r="P278" s="3"/>
      <c r="Q278" s="3" t="s">
        <v>4695</v>
      </c>
      <c r="R278" s="3" t="s">
        <v>4696</v>
      </c>
      <c r="S278" s="25">
        <v>5.029281</v>
      </c>
      <c r="T278" s="25">
        <v>47.653128</v>
      </c>
      <c r="U278" s="2">
        <v>31</v>
      </c>
      <c r="V278" s="3">
        <v>652384</v>
      </c>
      <c r="W278" s="3">
        <v>5279743</v>
      </c>
      <c r="X278" s="25">
        <v>2.991833</v>
      </c>
      <c r="Y278" s="25">
        <v>52.947985</v>
      </c>
      <c r="Z278" s="6"/>
      <c r="AA278" s="7" t="s">
        <v>5138</v>
      </c>
      <c r="AB278" s="8">
        <v>2016</v>
      </c>
      <c r="AC278" s="9"/>
      <c r="AD278" s="10"/>
      <c r="AE278" s="31" t="s">
        <v>4697</v>
      </c>
    </row>
    <row r="279" spans="1:31" ht="12.75">
      <c r="A279" s="4" t="s">
        <v>4698</v>
      </c>
      <c r="B279" s="1" t="s">
        <v>4347</v>
      </c>
      <c r="C279" s="1" t="s">
        <v>4699</v>
      </c>
      <c r="D279" s="1" t="s">
        <v>4700</v>
      </c>
      <c r="E279" s="2">
        <v>350</v>
      </c>
      <c r="F279" s="2">
        <v>37</v>
      </c>
      <c r="G279" s="3" t="s">
        <v>4701</v>
      </c>
      <c r="H279" s="3" t="s">
        <v>4702</v>
      </c>
      <c r="I279" s="3" t="s">
        <v>4703</v>
      </c>
      <c r="J279" s="44" t="str">
        <f>HYPERLINK("https://www.centcols.org/util/geo/visuGen.php?code=FR-21-0460","FR-21-0460")</f>
        <v>FR-21-0460</v>
      </c>
      <c r="K279" s="3" t="s">
        <v>4704</v>
      </c>
      <c r="L279" s="1" t="s">
        <v>4705</v>
      </c>
      <c r="M279" s="8">
        <v>0</v>
      </c>
      <c r="N279" s="8">
        <v>0</v>
      </c>
      <c r="O279" s="4"/>
      <c r="P279" s="3"/>
      <c r="Q279" s="3" t="s">
        <v>4706</v>
      </c>
      <c r="R279" s="3" t="s">
        <v>4707</v>
      </c>
      <c r="S279" s="25">
        <v>4.7539474254749035</v>
      </c>
      <c r="T279" s="25">
        <v>47.05030513429185</v>
      </c>
      <c r="U279" s="2">
        <v>31</v>
      </c>
      <c r="V279" s="3">
        <v>633218</v>
      </c>
      <c r="W279" s="3">
        <v>5212247</v>
      </c>
      <c r="X279" s="25">
        <v>2.68591477341714</v>
      </c>
      <c r="Y279" s="25">
        <v>52.27817319342164</v>
      </c>
      <c r="Z279" s="6"/>
      <c r="AA279" s="7" t="s">
        <v>5176</v>
      </c>
      <c r="AB279" s="8" t="s">
        <v>5711</v>
      </c>
      <c r="AC279" s="9"/>
      <c r="AD279" s="10">
        <v>1</v>
      </c>
      <c r="AE279" s="31" t="s">
        <v>4708</v>
      </c>
    </row>
    <row r="280" spans="1:31" ht="12.75">
      <c r="A280" s="4" t="s">
        <v>4709</v>
      </c>
      <c r="B280" s="1" t="s">
        <v>5923</v>
      </c>
      <c r="C280" s="1" t="s">
        <v>4710</v>
      </c>
      <c r="D280" s="1" t="s">
        <v>4711</v>
      </c>
      <c r="E280" s="2">
        <v>485</v>
      </c>
      <c r="F280" s="2">
        <v>36</v>
      </c>
      <c r="G280" s="3" t="s">
        <v>4712</v>
      </c>
      <c r="H280" s="3" t="s">
        <v>4713</v>
      </c>
      <c r="I280" s="3" t="s">
        <v>4714</v>
      </c>
      <c r="J280" s="44" t="str">
        <f>HYPERLINK("https://www.centcols.org/util/geo/visuGen.php?code=FR-21-0485","FR-21-0485")</f>
        <v>FR-21-0485</v>
      </c>
      <c r="K280" s="3" t="s">
        <v>4715</v>
      </c>
      <c r="L280" s="1" t="s">
        <v>4716</v>
      </c>
      <c r="M280" s="8">
        <v>0</v>
      </c>
      <c r="N280" s="8">
        <v>0</v>
      </c>
      <c r="O280" s="4"/>
      <c r="P280" s="3"/>
      <c r="Q280" s="3" t="s">
        <v>4717</v>
      </c>
      <c r="R280" s="3" t="s">
        <v>4718</v>
      </c>
      <c r="S280" s="25">
        <v>4.441036</v>
      </c>
      <c r="T280" s="25">
        <v>47.21735</v>
      </c>
      <c r="U280" s="2">
        <v>31</v>
      </c>
      <c r="V280" s="3">
        <v>609110</v>
      </c>
      <c r="W280" s="3">
        <v>5230325</v>
      </c>
      <c r="X280" s="25">
        <v>2.338249</v>
      </c>
      <c r="Y280" s="25">
        <v>52.463782</v>
      </c>
      <c r="Z280" s="6"/>
      <c r="AA280" s="7" t="s">
        <v>5138</v>
      </c>
      <c r="AB280" s="8">
        <v>2015</v>
      </c>
      <c r="AC280" s="9">
        <v>42297</v>
      </c>
      <c r="AD280" s="10"/>
      <c r="AE280" s="31" t="s">
        <v>4719</v>
      </c>
    </row>
    <row r="281" spans="1:31" ht="12.75">
      <c r="A281" s="20" t="s">
        <v>4720</v>
      </c>
      <c r="B281" s="62" t="s">
        <v>5815</v>
      </c>
      <c r="C281" s="62" t="s">
        <v>4721</v>
      </c>
      <c r="D281" s="62" t="s">
        <v>4722</v>
      </c>
      <c r="E281" s="24">
        <v>518</v>
      </c>
      <c r="F281" s="24">
        <v>36</v>
      </c>
      <c r="G281" s="24" t="s">
        <v>4723</v>
      </c>
      <c r="H281" s="24" t="s">
        <v>4724</v>
      </c>
      <c r="I281" s="24" t="s">
        <v>4725</v>
      </c>
      <c r="J281" s="44" t="str">
        <f>HYPERLINK("https://www.centcols.org/util/geo/visuGen.php?code=FR-21-0518","FR-21-0518")</f>
        <v>FR-21-0518</v>
      </c>
      <c r="K281" s="24" t="s">
        <v>4726</v>
      </c>
      <c r="L281" s="62" t="s">
        <v>4727</v>
      </c>
      <c r="M281" s="24">
        <v>0</v>
      </c>
      <c r="N281" s="24">
        <v>0</v>
      </c>
      <c r="O281" s="18"/>
      <c r="P281" s="24">
        <v>71</v>
      </c>
      <c r="Q281" s="24" t="s">
        <v>4728</v>
      </c>
      <c r="R281" s="24" t="s">
        <v>6999</v>
      </c>
      <c r="S281" s="25">
        <v>4.30198</v>
      </c>
      <c r="T281" s="25">
        <v>47.10715</v>
      </c>
      <c r="U281" s="24">
        <v>31</v>
      </c>
      <c r="V281" s="3">
        <v>598785</v>
      </c>
      <c r="W281" s="3">
        <v>5217894</v>
      </c>
      <c r="X281" s="25">
        <v>2.183748</v>
      </c>
      <c r="Y281" s="25">
        <v>52.341337</v>
      </c>
      <c r="Z281" s="18"/>
      <c r="AA281" s="19" t="s">
        <v>5138</v>
      </c>
      <c r="AB281" s="11">
        <v>2019</v>
      </c>
      <c r="AC281" s="60">
        <v>43525</v>
      </c>
      <c r="AD281" s="54"/>
      <c r="AE281" s="31" t="s">
        <v>4128</v>
      </c>
    </row>
    <row r="282" spans="1:31" ht="12.75">
      <c r="A282" s="18" t="s">
        <v>4729</v>
      </c>
      <c r="B282" s="20" t="s">
        <v>5815</v>
      </c>
      <c r="C282" s="20" t="s">
        <v>4730</v>
      </c>
      <c r="D282" s="20" t="s">
        <v>4731</v>
      </c>
      <c r="E282" s="19">
        <v>562</v>
      </c>
      <c r="F282" s="14">
        <v>36</v>
      </c>
      <c r="G282" s="19" t="s">
        <v>4732</v>
      </c>
      <c r="H282" s="19" t="s">
        <v>4733</v>
      </c>
      <c r="I282" s="19" t="s">
        <v>4734</v>
      </c>
      <c r="J282" s="44" t="str">
        <f>HYPERLINK("https://www.centcols.org/util/geo/visuGen.php?code=FR-21-0698","FR-21-0698")</f>
        <v>FR-21-0698</v>
      </c>
      <c r="K282" s="19" t="s">
        <v>4735</v>
      </c>
      <c r="L282" s="20" t="s">
        <v>4736</v>
      </c>
      <c r="M282" s="19">
        <v>0</v>
      </c>
      <c r="N282" s="19">
        <v>0</v>
      </c>
      <c r="O282" s="18"/>
      <c r="P282" s="19"/>
      <c r="Q282" s="19" t="s">
        <v>4737</v>
      </c>
      <c r="R282" s="19" t="s">
        <v>4738</v>
      </c>
      <c r="S282" s="59">
        <v>4.122113</v>
      </c>
      <c r="T282" s="59">
        <v>47.130775</v>
      </c>
      <c r="U282" s="19">
        <v>31</v>
      </c>
      <c r="V282" s="3">
        <v>585101</v>
      </c>
      <c r="W282" s="3">
        <v>5220308</v>
      </c>
      <c r="X282" s="59">
        <v>1.983903</v>
      </c>
      <c r="Y282" s="59">
        <v>52.367587</v>
      </c>
      <c r="Z282" s="18"/>
      <c r="AA282" s="19" t="s">
        <v>5138</v>
      </c>
      <c r="AB282" s="11">
        <v>2018</v>
      </c>
      <c r="AC282" s="12">
        <v>43250</v>
      </c>
      <c r="AD282" s="54"/>
      <c r="AE282" s="32" t="s">
        <v>4739</v>
      </c>
    </row>
    <row r="283" spans="1:31" ht="12.75">
      <c r="A283" s="18" t="s">
        <v>4740</v>
      </c>
      <c r="B283" s="20" t="s">
        <v>5128</v>
      </c>
      <c r="C283" s="20" t="s">
        <v>4741</v>
      </c>
      <c r="D283" s="20" t="s">
        <v>4742</v>
      </c>
      <c r="E283" s="19">
        <v>30</v>
      </c>
      <c r="F283" s="14">
        <v>14</v>
      </c>
      <c r="G283" s="19" t="s">
        <v>4743</v>
      </c>
      <c r="H283" s="19" t="s">
        <v>4744</v>
      </c>
      <c r="I283" s="19" t="s">
        <v>4745</v>
      </c>
      <c r="J283" s="44" t="str">
        <f>HYPERLINK("https://www.centcols.org/util/geo/visuGen.php?code=FR-22-0030","FR-22-0030")</f>
        <v>FR-22-0030</v>
      </c>
      <c r="K283" s="19" t="s">
        <v>4746</v>
      </c>
      <c r="L283" s="20" t="s">
        <v>5157</v>
      </c>
      <c r="M283" s="19">
        <v>0</v>
      </c>
      <c r="N283" s="19">
        <v>0</v>
      </c>
      <c r="O283" s="18"/>
      <c r="P283" s="19"/>
      <c r="Q283" s="19" t="s">
        <v>4747</v>
      </c>
      <c r="R283" s="19" t="s">
        <v>4748</v>
      </c>
      <c r="S283" s="59">
        <v>-3.430636</v>
      </c>
      <c r="T283" s="59">
        <v>48.817008</v>
      </c>
      <c r="U283" s="19">
        <v>30</v>
      </c>
      <c r="V283" s="3">
        <v>468387</v>
      </c>
      <c r="W283" s="3">
        <v>5407203</v>
      </c>
      <c r="X283" s="59">
        <v>-6.407704</v>
      </c>
      <c r="Y283" s="59">
        <v>54.24121</v>
      </c>
      <c r="Z283" s="18"/>
      <c r="AA283" s="19" t="s">
        <v>5138</v>
      </c>
      <c r="AB283" s="11">
        <v>2018</v>
      </c>
      <c r="AC283" s="12">
        <v>43250</v>
      </c>
      <c r="AD283" s="54"/>
      <c r="AE283" s="23" t="s">
        <v>4749</v>
      </c>
    </row>
    <row r="284" spans="1:31" ht="12.75">
      <c r="A284" s="4" t="s">
        <v>4750</v>
      </c>
      <c r="B284" s="1" t="s">
        <v>5815</v>
      </c>
      <c r="C284" s="1" t="s">
        <v>4751</v>
      </c>
      <c r="D284" s="1" t="s">
        <v>4752</v>
      </c>
      <c r="E284" s="2">
        <v>277</v>
      </c>
      <c r="F284" s="2">
        <v>14</v>
      </c>
      <c r="G284" s="3" t="s">
        <v>4753</v>
      </c>
      <c r="H284" s="3" t="s">
        <v>4754</v>
      </c>
      <c r="I284" s="3" t="s">
        <v>4755</v>
      </c>
      <c r="J284" s="44" t="str">
        <f>HYPERLINK("https://www.centcols.org/util/geo/visuGen.php?code=FR-22-0277","FR-22-0277")</f>
        <v>FR-22-0277</v>
      </c>
      <c r="K284" s="3" t="s">
        <v>4756</v>
      </c>
      <c r="L284" s="1" t="s">
        <v>4757</v>
      </c>
      <c r="M284" s="8">
        <v>0</v>
      </c>
      <c r="N284" s="8">
        <v>0</v>
      </c>
      <c r="O284" s="4"/>
      <c r="P284" s="3"/>
      <c r="Q284" s="3" t="s">
        <v>4758</v>
      </c>
      <c r="R284" s="3" t="s">
        <v>4759</v>
      </c>
      <c r="S284" s="25">
        <v>-3.089520211680342</v>
      </c>
      <c r="T284" s="25">
        <v>48.38905423586023</v>
      </c>
      <c r="U284" s="2">
        <v>30</v>
      </c>
      <c r="V284" s="3">
        <v>493373</v>
      </c>
      <c r="W284" s="3">
        <v>5359547</v>
      </c>
      <c r="X284" s="25">
        <v>-6.02870204791629</v>
      </c>
      <c r="Y284" s="25">
        <v>53.76569984799309</v>
      </c>
      <c r="Z284" s="6"/>
      <c r="AA284" s="7" t="s">
        <v>5138</v>
      </c>
      <c r="AB284" s="8">
        <v>2005</v>
      </c>
      <c r="AC284" s="9"/>
      <c r="AD284" s="10">
        <v>1</v>
      </c>
      <c r="AE284" s="31" t="s">
        <v>4760</v>
      </c>
    </row>
    <row r="285" spans="1:31" ht="12.75">
      <c r="A285" s="4" t="s">
        <v>4761</v>
      </c>
      <c r="B285" s="1" t="s">
        <v>5128</v>
      </c>
      <c r="C285" s="1" t="s">
        <v>4762</v>
      </c>
      <c r="D285" s="1" t="s">
        <v>4763</v>
      </c>
      <c r="E285" s="2">
        <v>284</v>
      </c>
      <c r="F285" s="2">
        <v>14</v>
      </c>
      <c r="G285" s="3" t="s">
        <v>4764</v>
      </c>
      <c r="H285" s="3" t="s">
        <v>4765</v>
      </c>
      <c r="I285" s="3" t="s">
        <v>4766</v>
      </c>
      <c r="J285" s="44" t="str">
        <f>HYPERLINK("https://www.centcols.org/util/geo/visuGen.php?code=FR-22-0278","FR-22-0278")</f>
        <v>FR-22-0278</v>
      </c>
      <c r="K285" s="3" t="s">
        <v>4767</v>
      </c>
      <c r="L285" s="1" t="s">
        <v>4497</v>
      </c>
      <c r="M285" s="8">
        <v>0</v>
      </c>
      <c r="N285" s="8">
        <v>0</v>
      </c>
      <c r="O285" s="4"/>
      <c r="P285" s="3"/>
      <c r="Q285" s="3" t="s">
        <v>4768</v>
      </c>
      <c r="R285" s="3" t="s">
        <v>4769</v>
      </c>
      <c r="S285" s="25">
        <v>-2.991619275570145</v>
      </c>
      <c r="T285" s="25">
        <v>48.48690261252638</v>
      </c>
      <c r="U285" s="2">
        <v>30</v>
      </c>
      <c r="V285" s="3">
        <v>500619</v>
      </c>
      <c r="W285" s="3">
        <v>5370420</v>
      </c>
      <c r="X285" s="25">
        <v>-5.919927074019882</v>
      </c>
      <c r="Y285" s="25">
        <v>53.874420781897335</v>
      </c>
      <c r="Z285" s="6"/>
      <c r="AA285" s="7" t="s">
        <v>5138</v>
      </c>
      <c r="AB285" s="8">
        <v>2002</v>
      </c>
      <c r="AC285" s="9"/>
      <c r="AD285" s="10">
        <v>1</v>
      </c>
      <c r="AE285" s="31" t="s">
        <v>4760</v>
      </c>
    </row>
    <row r="286" spans="1:31" ht="12.75">
      <c r="A286" s="4" t="s">
        <v>4770</v>
      </c>
      <c r="B286" s="1" t="s">
        <v>5128</v>
      </c>
      <c r="C286" s="1" t="s">
        <v>4771</v>
      </c>
      <c r="D286" s="1" t="s">
        <v>4772</v>
      </c>
      <c r="E286" s="2">
        <v>290</v>
      </c>
      <c r="F286" s="2">
        <v>14</v>
      </c>
      <c r="G286" s="3" t="s">
        <v>4753</v>
      </c>
      <c r="H286" s="3" t="s">
        <v>4773</v>
      </c>
      <c r="I286" s="3" t="s">
        <v>4774</v>
      </c>
      <c r="J286" s="44" t="str">
        <f>HYPERLINK("https://www.centcols.org/util/geo/visuGen.php?code=FR-22-0290","FR-22-0290")</f>
        <v>FR-22-0290</v>
      </c>
      <c r="K286" s="3" t="s">
        <v>4775</v>
      </c>
      <c r="L286" s="1" t="s">
        <v>4776</v>
      </c>
      <c r="M286" s="8">
        <v>0</v>
      </c>
      <c r="N286" s="8">
        <v>0</v>
      </c>
      <c r="O286" s="4"/>
      <c r="P286" s="3"/>
      <c r="Q286" s="3" t="s">
        <v>4777</v>
      </c>
      <c r="R286" s="3" t="s">
        <v>4778</v>
      </c>
      <c r="S286" s="25">
        <v>-3.21043272080561</v>
      </c>
      <c r="T286" s="25">
        <v>48.41190583393987</v>
      </c>
      <c r="U286" s="2">
        <v>30</v>
      </c>
      <c r="V286" s="3">
        <v>484428</v>
      </c>
      <c r="W286" s="3">
        <v>5362105</v>
      </c>
      <c r="X286" s="25">
        <v>-6.163044732515559</v>
      </c>
      <c r="Y286" s="25">
        <v>53.79109091138782</v>
      </c>
      <c r="Z286" s="6"/>
      <c r="AA286" s="7" t="s">
        <v>5138</v>
      </c>
      <c r="AB286" s="8">
        <v>2002</v>
      </c>
      <c r="AC286" s="9"/>
      <c r="AD286" s="10">
        <v>1</v>
      </c>
      <c r="AE286" s="31" t="s">
        <v>4760</v>
      </c>
    </row>
    <row r="287" spans="1:31" ht="12.75">
      <c r="A287" s="4" t="s">
        <v>4779</v>
      </c>
      <c r="B287" s="1" t="s">
        <v>5128</v>
      </c>
      <c r="C287" s="1" t="s">
        <v>4780</v>
      </c>
      <c r="D287" s="1" t="s">
        <v>4781</v>
      </c>
      <c r="E287" s="2">
        <v>322</v>
      </c>
      <c r="F287" s="2">
        <v>14</v>
      </c>
      <c r="G287" s="3" t="s">
        <v>4782</v>
      </c>
      <c r="H287" s="3" t="s">
        <v>4783</v>
      </c>
      <c r="I287" s="3" t="s">
        <v>4784</v>
      </c>
      <c r="J287" s="44" t="str">
        <f>HYPERLINK("https://www.centcols.org/util/geo/visuGen.php?code=FR-22-0322","FR-22-0322")</f>
        <v>FR-22-0322</v>
      </c>
      <c r="K287" s="3" t="s">
        <v>4785</v>
      </c>
      <c r="L287" s="1" t="s">
        <v>4786</v>
      </c>
      <c r="M287" s="8">
        <v>0</v>
      </c>
      <c r="N287" s="8">
        <v>0</v>
      </c>
      <c r="O287" s="4"/>
      <c r="P287" s="3"/>
      <c r="Q287" s="3" t="s">
        <v>4787</v>
      </c>
      <c r="R287" s="3" t="s">
        <v>4788</v>
      </c>
      <c r="S287" s="25">
        <v>-2.9121787704341333</v>
      </c>
      <c r="T287" s="25">
        <v>48.361726356212834</v>
      </c>
      <c r="U287" s="2">
        <v>30</v>
      </c>
      <c r="V287" s="3">
        <v>506505</v>
      </c>
      <c r="W287" s="3">
        <v>5356510</v>
      </c>
      <c r="X287" s="25">
        <v>-5.831662908200494</v>
      </c>
      <c r="Y287" s="25">
        <v>53.73533575880419</v>
      </c>
      <c r="Z287" s="6"/>
      <c r="AA287" s="7" t="s">
        <v>5138</v>
      </c>
      <c r="AB287" s="8">
        <v>2002</v>
      </c>
      <c r="AC287" s="9"/>
      <c r="AD287" s="10">
        <v>1</v>
      </c>
      <c r="AE287" s="31" t="s">
        <v>4760</v>
      </c>
    </row>
    <row r="288" spans="1:31" ht="12.75">
      <c r="A288" s="4" t="s">
        <v>4789</v>
      </c>
      <c r="B288" s="1" t="s">
        <v>5923</v>
      </c>
      <c r="C288" s="1" t="s">
        <v>4790</v>
      </c>
      <c r="D288" s="1" t="s">
        <v>4791</v>
      </c>
      <c r="E288" s="2">
        <v>336</v>
      </c>
      <c r="F288" s="2">
        <v>14</v>
      </c>
      <c r="G288" s="3" t="s">
        <v>4792</v>
      </c>
      <c r="H288" s="3" t="s">
        <v>4793</v>
      </c>
      <c r="I288" s="3" t="s">
        <v>4794</v>
      </c>
      <c r="J288" s="44" t="str">
        <f>HYPERLINK("https://www.centcols.org/util/geo/visuGen.php?code=FR-22-0336","FR-22-0336")</f>
        <v>FR-22-0336</v>
      </c>
      <c r="K288" s="3" t="s">
        <v>4795</v>
      </c>
      <c r="L288" s="1" t="s">
        <v>4727</v>
      </c>
      <c r="M288" s="8">
        <v>0</v>
      </c>
      <c r="N288" s="8">
        <v>0</v>
      </c>
      <c r="O288" s="4"/>
      <c r="P288" s="3"/>
      <c r="Q288" s="3" t="s">
        <v>4796</v>
      </c>
      <c r="R288" s="3" t="s">
        <v>4797</v>
      </c>
      <c r="S288" s="25">
        <v>-2.5833253065055373</v>
      </c>
      <c r="T288" s="25">
        <v>48.32233591570905</v>
      </c>
      <c r="U288" s="2">
        <v>30</v>
      </c>
      <c r="V288" s="3">
        <v>530888</v>
      </c>
      <c r="W288" s="3">
        <v>5352211</v>
      </c>
      <c r="X288" s="25">
        <v>-5.466282826576836</v>
      </c>
      <c r="Y288" s="25">
        <v>53.6915683333912</v>
      </c>
      <c r="Z288" s="6"/>
      <c r="AA288" s="7" t="s">
        <v>5138</v>
      </c>
      <c r="AB288" s="8" t="s">
        <v>5571</v>
      </c>
      <c r="AC288" s="9"/>
      <c r="AD288" s="10">
        <v>1</v>
      </c>
      <c r="AE288" s="31" t="s">
        <v>4798</v>
      </c>
    </row>
    <row r="289" spans="1:31" ht="12.75">
      <c r="A289" s="4" t="s">
        <v>4799</v>
      </c>
      <c r="B289" s="1" t="s">
        <v>5923</v>
      </c>
      <c r="C289" s="1" t="s">
        <v>4800</v>
      </c>
      <c r="D289" s="1" t="s">
        <v>4801</v>
      </c>
      <c r="E289" s="2">
        <v>561</v>
      </c>
      <c r="F289" s="2">
        <v>41</v>
      </c>
      <c r="G289" s="3" t="s">
        <v>4802</v>
      </c>
      <c r="H289" s="3" t="s">
        <v>4803</v>
      </c>
      <c r="I289" s="3" t="s">
        <v>4804</v>
      </c>
      <c r="J289" s="44" t="str">
        <f>HYPERLINK("https://www.centcols.org/util/geo/visuGen.php?code=FR-23-0561","FR-23-0561")</f>
        <v>FR-23-0561</v>
      </c>
      <c r="K289" s="3" t="s">
        <v>4805</v>
      </c>
      <c r="L289" s="1" t="s">
        <v>4806</v>
      </c>
      <c r="M289" s="8">
        <v>0</v>
      </c>
      <c r="N289" s="8">
        <v>0</v>
      </c>
      <c r="O289" s="4"/>
      <c r="P289" s="3"/>
      <c r="Q289" s="3" t="s">
        <v>4807</v>
      </c>
      <c r="R289" s="3" t="s">
        <v>4808</v>
      </c>
      <c r="S289" s="25">
        <v>1.7682644557061171</v>
      </c>
      <c r="T289" s="25">
        <v>46.22970846127117</v>
      </c>
      <c r="U289" s="2">
        <v>31</v>
      </c>
      <c r="V289" s="3">
        <v>405020</v>
      </c>
      <c r="W289" s="3">
        <v>5120307</v>
      </c>
      <c r="X289" s="25">
        <v>-0.6313834880175603</v>
      </c>
      <c r="Y289" s="25">
        <v>51.36640051696472</v>
      </c>
      <c r="Z289" s="6"/>
      <c r="AA289" s="7" t="s">
        <v>5138</v>
      </c>
      <c r="AB289" s="8">
        <v>2002</v>
      </c>
      <c r="AC289" s="9"/>
      <c r="AD289" s="10">
        <v>1</v>
      </c>
      <c r="AE289" s="31" t="s">
        <v>4128</v>
      </c>
    </row>
    <row r="290" spans="1:31" ht="12.75">
      <c r="A290" s="4" t="s">
        <v>4809</v>
      </c>
      <c r="B290" s="1" t="s">
        <v>4810</v>
      </c>
      <c r="C290" s="1" t="s">
        <v>4811</v>
      </c>
      <c r="D290" s="1" t="s">
        <v>4812</v>
      </c>
      <c r="E290" s="2">
        <v>105</v>
      </c>
      <c r="F290" s="2">
        <v>47</v>
      </c>
      <c r="G290" s="3" t="s">
        <v>4813</v>
      </c>
      <c r="H290" s="3" t="s">
        <v>4814</v>
      </c>
      <c r="I290" s="3" t="s">
        <v>4815</v>
      </c>
      <c r="J290" s="44" t="str">
        <f>HYPERLINK("https://www.centcols.org/util/geo/visuGen.php?code=FR-24-0105","FR-24-0105")</f>
        <v>FR-24-0105</v>
      </c>
      <c r="K290" s="3" t="s">
        <v>4816</v>
      </c>
      <c r="L290" s="1" t="s">
        <v>5157</v>
      </c>
      <c r="M290" s="8">
        <v>0</v>
      </c>
      <c r="N290" s="8">
        <v>0</v>
      </c>
      <c r="O290" s="4"/>
      <c r="P290" s="3"/>
      <c r="Q290" s="3" t="s">
        <v>4817</v>
      </c>
      <c r="R290" s="3" t="s">
        <v>4818</v>
      </c>
      <c r="S290" s="25">
        <v>0.389425</v>
      </c>
      <c r="T290" s="25">
        <v>45.318441</v>
      </c>
      <c r="U290" s="2">
        <v>31</v>
      </c>
      <c r="V290" s="3">
        <v>295390</v>
      </c>
      <c r="W290" s="3">
        <v>5021642</v>
      </c>
      <c r="X290" s="25">
        <v>-2.16338</v>
      </c>
      <c r="Y290" s="25">
        <v>50.353883</v>
      </c>
      <c r="Z290" s="6"/>
      <c r="AA290" s="7" t="s">
        <v>5138</v>
      </c>
      <c r="AB290" s="8">
        <v>2016</v>
      </c>
      <c r="AC290" s="9">
        <v>42593</v>
      </c>
      <c r="AD290" s="10"/>
      <c r="AE290" s="31" t="s">
        <v>4819</v>
      </c>
    </row>
    <row r="291" spans="1:31" ht="12.75">
      <c r="A291" s="4" t="s">
        <v>4820</v>
      </c>
      <c r="B291" s="1" t="s">
        <v>5262</v>
      </c>
      <c r="C291" s="1" t="s">
        <v>4821</v>
      </c>
      <c r="D291" s="1" t="s">
        <v>4821</v>
      </c>
      <c r="E291" s="2">
        <v>166</v>
      </c>
      <c r="F291" s="2">
        <v>47</v>
      </c>
      <c r="G291" s="3" t="s">
        <v>4813</v>
      </c>
      <c r="H291" s="3" t="s">
        <v>4822</v>
      </c>
      <c r="I291" s="3" t="s">
        <v>4823</v>
      </c>
      <c r="J291" s="44" t="str">
        <f>HYPERLINK("https://www.centcols.org/util/geo/visuGen.php?code=FR-24-0166","FR-24-0166")</f>
        <v>FR-24-0166</v>
      </c>
      <c r="K291" s="3" t="s">
        <v>4824</v>
      </c>
      <c r="L291" s="1" t="s">
        <v>5157</v>
      </c>
      <c r="M291" s="8">
        <v>0</v>
      </c>
      <c r="N291" s="8">
        <v>0</v>
      </c>
      <c r="O291" s="4"/>
      <c r="P291" s="3"/>
      <c r="Q291" s="3" t="s">
        <v>4825</v>
      </c>
      <c r="R291" s="3" t="s">
        <v>4826</v>
      </c>
      <c r="S291" s="25">
        <v>0.403905</v>
      </c>
      <c r="T291" s="25">
        <v>45.329991</v>
      </c>
      <c r="U291" s="2">
        <v>31</v>
      </c>
      <c r="V291" s="3">
        <v>296567</v>
      </c>
      <c r="W291" s="3">
        <v>5022888</v>
      </c>
      <c r="X291" s="25">
        <v>-2.147292</v>
      </c>
      <c r="Y291" s="25">
        <v>50.366716</v>
      </c>
      <c r="Z291" s="6"/>
      <c r="AA291" s="7" t="s">
        <v>5138</v>
      </c>
      <c r="AB291" s="8">
        <v>2016</v>
      </c>
      <c r="AC291" s="9">
        <v>42593</v>
      </c>
      <c r="AD291" s="10"/>
      <c r="AE291" s="31" t="s">
        <v>4827</v>
      </c>
    </row>
    <row r="292" spans="1:31" ht="12.75">
      <c r="A292" s="4" t="s">
        <v>4828</v>
      </c>
      <c r="B292" s="1" t="s">
        <v>5589</v>
      </c>
      <c r="C292" s="1" t="s">
        <v>4829</v>
      </c>
      <c r="D292" s="1" t="s">
        <v>5263</v>
      </c>
      <c r="E292" s="2">
        <v>176</v>
      </c>
      <c r="F292" s="2">
        <v>48</v>
      </c>
      <c r="G292" s="3" t="s">
        <v>4830</v>
      </c>
      <c r="H292" s="3" t="s">
        <v>4831</v>
      </c>
      <c r="I292" s="3" t="s">
        <v>4832</v>
      </c>
      <c r="J292" s="44" t="str">
        <f>HYPERLINK("https://www.centcols.org/util/geo/visuGen.php?code=FR-24-0176","FR-24-0176")</f>
        <v>FR-24-0176</v>
      </c>
      <c r="K292" s="3" t="s">
        <v>4833</v>
      </c>
      <c r="L292" s="1" t="s">
        <v>5157</v>
      </c>
      <c r="M292" s="8">
        <v>0</v>
      </c>
      <c r="N292" s="8">
        <v>0</v>
      </c>
      <c r="O292" s="4"/>
      <c r="P292" s="3"/>
      <c r="Q292" s="3" t="s">
        <v>4834</v>
      </c>
      <c r="R292" s="3" t="s">
        <v>4835</v>
      </c>
      <c r="S292" s="25">
        <v>1.0512778623587753</v>
      </c>
      <c r="T292" s="25">
        <v>45.26184745197497</v>
      </c>
      <c r="U292" s="2">
        <v>31</v>
      </c>
      <c r="V292" s="3">
        <v>347112</v>
      </c>
      <c r="W292" s="3">
        <v>5013886</v>
      </c>
      <c r="X292" s="25">
        <v>-1.428020182373161</v>
      </c>
      <c r="Y292" s="25">
        <v>50.29099358343933</v>
      </c>
      <c r="Z292" s="6"/>
      <c r="AA292" s="7" t="s">
        <v>5138</v>
      </c>
      <c r="AB292" s="8">
        <v>2013</v>
      </c>
      <c r="AC292" s="9">
        <v>41253</v>
      </c>
      <c r="AD292" s="10">
        <v>6</v>
      </c>
      <c r="AE292" s="31" t="s">
        <v>4836</v>
      </c>
    </row>
    <row r="293" spans="1:31" ht="12.75">
      <c r="A293" s="4" t="s">
        <v>4837</v>
      </c>
      <c r="B293" s="1" t="s">
        <v>5128</v>
      </c>
      <c r="C293" s="1" t="s">
        <v>4838</v>
      </c>
      <c r="D293" s="1" t="s">
        <v>4839</v>
      </c>
      <c r="E293" s="2">
        <v>258</v>
      </c>
      <c r="F293" s="2">
        <v>48</v>
      </c>
      <c r="G293" s="3" t="s">
        <v>4830</v>
      </c>
      <c r="H293" s="3" t="s">
        <v>4840</v>
      </c>
      <c r="I293" s="3" t="s">
        <v>4841</v>
      </c>
      <c r="J293" s="44" t="str">
        <f>HYPERLINK("https://www.centcols.org/util/geo/visuGen.php?code=FR-24-0258","FR-24-0258")</f>
        <v>FR-24-0258</v>
      </c>
      <c r="K293" s="3" t="s">
        <v>4842</v>
      </c>
      <c r="L293" s="1" t="s">
        <v>4727</v>
      </c>
      <c r="M293" s="8">
        <v>0</v>
      </c>
      <c r="N293" s="8">
        <v>0</v>
      </c>
      <c r="O293" s="4"/>
      <c r="P293" s="3"/>
      <c r="Q293" s="3" t="s">
        <v>4843</v>
      </c>
      <c r="R293" s="3" t="s">
        <v>4844</v>
      </c>
      <c r="S293" s="25">
        <v>0.9741762791943903</v>
      </c>
      <c r="T293" s="25">
        <v>45.25374777496931</v>
      </c>
      <c r="U293" s="2">
        <v>31</v>
      </c>
      <c r="V293" s="3">
        <v>341041</v>
      </c>
      <c r="W293" s="3">
        <v>5013135</v>
      </c>
      <c r="X293" s="25">
        <v>-1.5136858042897978</v>
      </c>
      <c r="Y293" s="25">
        <v>50.28199444445537</v>
      </c>
      <c r="Z293" s="6"/>
      <c r="AA293" s="7" t="s">
        <v>5138</v>
      </c>
      <c r="AB293" s="8">
        <v>2001</v>
      </c>
      <c r="AC293" s="9"/>
      <c r="AD293" s="10">
        <v>1</v>
      </c>
      <c r="AE293" s="31" t="s">
        <v>4845</v>
      </c>
    </row>
    <row r="294" spans="1:31" ht="12.75">
      <c r="A294" s="4" t="s">
        <v>4846</v>
      </c>
      <c r="B294" s="1" t="s">
        <v>5815</v>
      </c>
      <c r="C294" s="1" t="s">
        <v>4847</v>
      </c>
      <c r="D294" s="1" t="s">
        <v>4848</v>
      </c>
      <c r="E294" s="2">
        <v>467</v>
      </c>
      <c r="F294" s="2">
        <v>38</v>
      </c>
      <c r="G294" s="3" t="s">
        <v>4849</v>
      </c>
      <c r="H294" s="3" t="s">
        <v>4850</v>
      </c>
      <c r="I294" s="3" t="s">
        <v>4851</v>
      </c>
      <c r="J294" s="44" t="str">
        <f>HYPERLINK("https://www.centcols.org/util/geo/visuGen.php?code=FR-25-0467","FR-25-0467")</f>
        <v>FR-25-0467</v>
      </c>
      <c r="K294" s="3" t="s">
        <v>4852</v>
      </c>
      <c r="L294" s="1" t="s">
        <v>4853</v>
      </c>
      <c r="M294" s="8">
        <v>0</v>
      </c>
      <c r="N294" s="8">
        <v>0</v>
      </c>
      <c r="O294" s="4"/>
      <c r="P294" s="3"/>
      <c r="Q294" s="3" t="s">
        <v>4854</v>
      </c>
      <c r="R294" s="3" t="s">
        <v>4855</v>
      </c>
      <c r="S294" s="25">
        <v>6.1188909034776895</v>
      </c>
      <c r="T294" s="25">
        <v>47.34079410820865</v>
      </c>
      <c r="U294" s="2">
        <v>32</v>
      </c>
      <c r="V294" s="3">
        <v>282366</v>
      </c>
      <c r="W294" s="3">
        <v>5247062</v>
      </c>
      <c r="X294" s="25">
        <v>4.202470525956535</v>
      </c>
      <c r="Y294" s="25">
        <v>52.60093584977351</v>
      </c>
      <c r="Z294" s="6"/>
      <c r="AA294" s="7" t="s">
        <v>5138</v>
      </c>
      <c r="AB294" s="8">
        <v>2009</v>
      </c>
      <c r="AC294" s="9"/>
      <c r="AD294" s="10">
        <v>1</v>
      </c>
      <c r="AE294" s="31" t="s">
        <v>4128</v>
      </c>
    </row>
    <row r="295" spans="1:31" ht="12.75">
      <c r="A295" s="4" t="s">
        <v>4856</v>
      </c>
      <c r="B295" s="1" t="s">
        <v>5534</v>
      </c>
      <c r="C295" s="1" t="s">
        <v>4857</v>
      </c>
      <c r="D295" s="1" t="s">
        <v>4858</v>
      </c>
      <c r="E295" s="2">
        <v>778</v>
      </c>
      <c r="F295" s="2">
        <v>38</v>
      </c>
      <c r="G295" s="3" t="s">
        <v>4859</v>
      </c>
      <c r="H295" s="3" t="s">
        <v>4860</v>
      </c>
      <c r="I295" s="3" t="s">
        <v>4861</v>
      </c>
      <c r="J295" s="44" t="str">
        <f>HYPERLINK("https://www.centcols.org/util/geo/visuGen.php?code=FR-25-0778","FR-25-0778")</f>
        <v>FR-25-0778</v>
      </c>
      <c r="K295" s="3" t="s">
        <v>4862</v>
      </c>
      <c r="L295" s="1" t="s">
        <v>4863</v>
      </c>
      <c r="M295" s="8">
        <v>0</v>
      </c>
      <c r="N295" s="8">
        <v>0</v>
      </c>
      <c r="O295" s="4"/>
      <c r="P295" s="3"/>
      <c r="Q295" s="3" t="s">
        <v>4864</v>
      </c>
      <c r="R295" s="3" t="s">
        <v>4865</v>
      </c>
      <c r="S295" s="25">
        <v>6.261761</v>
      </c>
      <c r="T295" s="25">
        <v>46.947514</v>
      </c>
      <c r="U295" s="2">
        <v>32</v>
      </c>
      <c r="V295" s="3">
        <v>291625</v>
      </c>
      <c r="W295" s="3">
        <v>5202971</v>
      </c>
      <c r="X295" s="25">
        <v>4.361201</v>
      </c>
      <c r="Y295" s="25">
        <v>52.16395</v>
      </c>
      <c r="Z295" s="6"/>
      <c r="AA295" s="7" t="s">
        <v>5176</v>
      </c>
      <c r="AB295" s="8" t="s">
        <v>5711</v>
      </c>
      <c r="AC295" s="9"/>
      <c r="AD295" s="10">
        <v>1</v>
      </c>
      <c r="AE295" s="31" t="s">
        <v>4866</v>
      </c>
    </row>
    <row r="296" spans="1:31" ht="12.75">
      <c r="A296" s="4" t="s">
        <v>4867</v>
      </c>
      <c r="B296" s="1" t="s">
        <v>4868</v>
      </c>
      <c r="C296" s="1" t="s">
        <v>4869</v>
      </c>
      <c r="D296" s="1" t="s">
        <v>4870</v>
      </c>
      <c r="E296" s="2">
        <v>891</v>
      </c>
      <c r="F296" s="2">
        <v>38</v>
      </c>
      <c r="G296" s="3" t="s">
        <v>4871</v>
      </c>
      <c r="H296" s="3" t="s">
        <v>4872</v>
      </c>
      <c r="I296" s="3" t="s">
        <v>4873</v>
      </c>
      <c r="J296" s="44" t="str">
        <f>HYPERLINK("https://www.centcols.org/util/geo/visuGen.php?code=FR-25-0891","FR-25-0891")</f>
        <v>FR-25-0891</v>
      </c>
      <c r="K296" s="3" t="s">
        <v>4874</v>
      </c>
      <c r="L296" s="1" t="s">
        <v>4875</v>
      </c>
      <c r="M296" s="8">
        <v>0</v>
      </c>
      <c r="N296" s="8">
        <v>0</v>
      </c>
      <c r="O296" s="4"/>
      <c r="P296" s="3"/>
      <c r="Q296" s="3" t="s">
        <v>4876</v>
      </c>
      <c r="R296" s="3" t="s">
        <v>4877</v>
      </c>
      <c r="S296" s="25">
        <v>6.709111</v>
      </c>
      <c r="T296" s="25">
        <v>47.053407</v>
      </c>
      <c r="U296" s="2">
        <v>32</v>
      </c>
      <c r="V296" s="3">
        <v>326011</v>
      </c>
      <c r="W296" s="3">
        <v>5213646</v>
      </c>
      <c r="X296" s="25">
        <v>4.858241</v>
      </c>
      <c r="Y296" s="25">
        <v>52.281607</v>
      </c>
      <c r="Z296" s="6"/>
      <c r="AA296" s="7" t="s">
        <v>5176</v>
      </c>
      <c r="AB296" s="8" t="s">
        <v>5711</v>
      </c>
      <c r="AC296" s="9"/>
      <c r="AD296" s="10">
        <v>1</v>
      </c>
      <c r="AE296" s="31" t="s">
        <v>4878</v>
      </c>
    </row>
    <row r="297" spans="1:31" ht="12.75">
      <c r="A297" s="4" t="s">
        <v>4879</v>
      </c>
      <c r="B297" s="1" t="s">
        <v>5534</v>
      </c>
      <c r="C297" s="1" t="s">
        <v>4857</v>
      </c>
      <c r="D297" s="1" t="s">
        <v>4858</v>
      </c>
      <c r="E297" s="2">
        <v>919</v>
      </c>
      <c r="F297" s="2">
        <v>38</v>
      </c>
      <c r="G297" s="3" t="s">
        <v>4871</v>
      </c>
      <c r="H297" s="3" t="s">
        <v>4880</v>
      </c>
      <c r="I297" s="3" t="s">
        <v>4881</v>
      </c>
      <c r="J297" s="44" t="str">
        <f>HYPERLINK("https://www.centcols.org/util/geo/visuGen.php?code=FR-25-0919","FR-25-0919")</f>
        <v>FR-25-0919</v>
      </c>
      <c r="K297" s="3" t="s">
        <v>4882</v>
      </c>
      <c r="L297" s="1" t="s">
        <v>4883</v>
      </c>
      <c r="M297" s="8">
        <v>0</v>
      </c>
      <c r="N297" s="8">
        <v>0</v>
      </c>
      <c r="O297" s="4"/>
      <c r="P297" s="3"/>
      <c r="Q297" s="3" t="s">
        <v>4884</v>
      </c>
      <c r="R297" s="3" t="s">
        <v>4885</v>
      </c>
      <c r="S297" s="25">
        <v>6.72018410987964</v>
      </c>
      <c r="T297" s="25">
        <v>47.05120387330205</v>
      </c>
      <c r="U297" s="2">
        <v>32</v>
      </c>
      <c r="V297" s="3">
        <v>326845</v>
      </c>
      <c r="W297" s="3">
        <v>5213376</v>
      </c>
      <c r="X297" s="25">
        <v>4.870543729505609</v>
      </c>
      <c r="Y297" s="25">
        <v>52.27915890393178</v>
      </c>
      <c r="Z297" s="6"/>
      <c r="AA297" s="7" t="s">
        <v>5138</v>
      </c>
      <c r="AB297" s="8">
        <v>2011</v>
      </c>
      <c r="AC297" s="9"/>
      <c r="AD297" s="10">
        <v>1</v>
      </c>
      <c r="AE297" s="31" t="s">
        <v>4886</v>
      </c>
    </row>
    <row r="298" spans="1:31" ht="12.75">
      <c r="A298" s="4" t="s">
        <v>4887</v>
      </c>
      <c r="B298" s="1" t="s">
        <v>5981</v>
      </c>
      <c r="C298" s="1" t="s">
        <v>4888</v>
      </c>
      <c r="D298" s="1" t="s">
        <v>4889</v>
      </c>
      <c r="E298" s="2">
        <v>963</v>
      </c>
      <c r="F298" s="2">
        <v>38</v>
      </c>
      <c r="G298" s="3" t="s">
        <v>4890</v>
      </c>
      <c r="H298" s="3" t="s">
        <v>4891</v>
      </c>
      <c r="I298" s="3" t="s">
        <v>4892</v>
      </c>
      <c r="J298" s="44" t="str">
        <f>HYPERLINK("https://www.centcols.org/util/geo/visuGen.php?code=FR-25-0963","FR-25-0963")</f>
        <v>FR-25-0963</v>
      </c>
      <c r="K298" s="3" t="s">
        <v>4893</v>
      </c>
      <c r="L298" s="1" t="s">
        <v>5157</v>
      </c>
      <c r="M298" s="8">
        <v>0</v>
      </c>
      <c r="N298" s="8">
        <v>0</v>
      </c>
      <c r="O298" s="4"/>
      <c r="P298" s="3"/>
      <c r="Q298" s="3" t="s">
        <v>4894</v>
      </c>
      <c r="R298" s="3" t="s">
        <v>4895</v>
      </c>
      <c r="S298" s="25">
        <v>6.535958910546361</v>
      </c>
      <c r="T298" s="25">
        <v>47.01420174904778</v>
      </c>
      <c r="U298" s="2">
        <v>32</v>
      </c>
      <c r="V298" s="3">
        <v>312723</v>
      </c>
      <c r="W298" s="3">
        <v>5209689</v>
      </c>
      <c r="X298" s="25">
        <v>4.665855730055861</v>
      </c>
      <c r="Y298" s="25">
        <v>52.23804601217922</v>
      </c>
      <c r="Z298" s="6"/>
      <c r="AA298" s="7" t="s">
        <v>5138</v>
      </c>
      <c r="AB298" s="8">
        <v>2014</v>
      </c>
      <c r="AC298" s="9">
        <v>41769</v>
      </c>
      <c r="AD298" s="10"/>
      <c r="AE298" s="31" t="s">
        <v>4896</v>
      </c>
    </row>
    <row r="299" spans="1:31" ht="12.75">
      <c r="A299" s="4" t="s">
        <v>4897</v>
      </c>
      <c r="B299" s="1" t="s">
        <v>5923</v>
      </c>
      <c r="C299" s="1" t="s">
        <v>4898</v>
      </c>
      <c r="D299" s="1" t="s">
        <v>4899</v>
      </c>
      <c r="E299" s="2">
        <v>1201</v>
      </c>
      <c r="F299" s="2">
        <v>38</v>
      </c>
      <c r="G299" s="3" t="s">
        <v>4890</v>
      </c>
      <c r="H299" s="3" t="s">
        <v>4900</v>
      </c>
      <c r="I299" s="3" t="s">
        <v>4901</v>
      </c>
      <c r="J299" s="44" t="str">
        <f>HYPERLINK("https://www.centcols.org/util/geo/visuGen.php?code=FR-25-1201","FR-25-1201")</f>
        <v>FR-25-1201</v>
      </c>
      <c r="K299" s="3" t="s">
        <v>4902</v>
      </c>
      <c r="L299" s="1" t="s">
        <v>4903</v>
      </c>
      <c r="M299" s="8">
        <v>0</v>
      </c>
      <c r="N299" s="8">
        <v>0</v>
      </c>
      <c r="O299" s="4"/>
      <c r="P299" s="3"/>
      <c r="Q299" s="3" t="s">
        <v>4904</v>
      </c>
      <c r="R299" s="3" t="s">
        <v>4905</v>
      </c>
      <c r="S299" s="25">
        <v>6.590017</v>
      </c>
      <c r="T299" s="25">
        <v>46.993029</v>
      </c>
      <c r="U299" s="2">
        <v>32</v>
      </c>
      <c r="V299" s="3">
        <v>316760</v>
      </c>
      <c r="W299" s="3">
        <v>5207208</v>
      </c>
      <c r="X299" s="25">
        <v>4.725918</v>
      </c>
      <c r="Y299" s="25">
        <v>52.21452</v>
      </c>
      <c r="Z299" s="6"/>
      <c r="AA299" s="7" t="s">
        <v>5138</v>
      </c>
      <c r="AB299" s="8">
        <v>2015</v>
      </c>
      <c r="AC299" s="9">
        <v>42297</v>
      </c>
      <c r="AD299" s="10"/>
      <c r="AE299" s="31" t="s">
        <v>4906</v>
      </c>
    </row>
    <row r="300" spans="1:31" ht="12.75">
      <c r="A300" s="4" t="s">
        <v>4907</v>
      </c>
      <c r="B300" s="1" t="s">
        <v>5534</v>
      </c>
      <c r="C300" s="1" t="s">
        <v>4908</v>
      </c>
      <c r="D300" s="1" t="s">
        <v>4909</v>
      </c>
      <c r="E300" s="2">
        <v>234</v>
      </c>
      <c r="F300" s="2">
        <v>52</v>
      </c>
      <c r="G300" s="3" t="s">
        <v>4910</v>
      </c>
      <c r="H300" s="3" t="s">
        <v>4911</v>
      </c>
      <c r="I300" s="3" t="s">
        <v>4912</v>
      </c>
      <c r="J300" s="44" t="str">
        <f>HYPERLINK("https://www.centcols.org/util/geo/visuGen.php?code=FR-26-0234","FR-26-0234")</f>
        <v>FR-26-0234</v>
      </c>
      <c r="K300" s="3" t="s">
        <v>4913</v>
      </c>
      <c r="L300" s="1" t="s">
        <v>4914</v>
      </c>
      <c r="M300" s="8">
        <v>0</v>
      </c>
      <c r="N300" s="8">
        <v>0</v>
      </c>
      <c r="O300" s="4"/>
      <c r="P300" s="3"/>
      <c r="Q300" s="3" t="s">
        <v>4915</v>
      </c>
      <c r="R300" s="3" t="s">
        <v>4916</v>
      </c>
      <c r="S300" s="25">
        <v>4.977445226254907</v>
      </c>
      <c r="T300" s="25">
        <v>44.768689996404866</v>
      </c>
      <c r="U300" s="2">
        <v>31</v>
      </c>
      <c r="V300" s="3">
        <v>656479</v>
      </c>
      <c r="W300" s="3">
        <v>4959157</v>
      </c>
      <c r="X300" s="25">
        <v>2.934206675272826</v>
      </c>
      <c r="Y300" s="25">
        <v>49.74300176726996</v>
      </c>
      <c r="Z300" s="6"/>
      <c r="AA300" s="7" t="s">
        <v>5138</v>
      </c>
      <c r="AB300" s="8">
        <v>2007</v>
      </c>
      <c r="AC300" s="9"/>
      <c r="AD300" s="10">
        <v>1</v>
      </c>
      <c r="AE300" s="31" t="s">
        <v>4917</v>
      </c>
    </row>
    <row r="301" spans="1:31" ht="12.75">
      <c r="A301" s="4" t="s">
        <v>4918</v>
      </c>
      <c r="B301" s="1" t="s">
        <v>5128</v>
      </c>
      <c r="C301" s="1" t="s">
        <v>4919</v>
      </c>
      <c r="D301" s="1" t="s">
        <v>4920</v>
      </c>
      <c r="E301" s="2">
        <v>334</v>
      </c>
      <c r="F301" s="2">
        <v>52</v>
      </c>
      <c r="G301" s="3" t="s">
        <v>4921</v>
      </c>
      <c r="H301" s="3" t="s">
        <v>4922</v>
      </c>
      <c r="I301" s="3" t="s">
        <v>4923</v>
      </c>
      <c r="J301" s="44" t="str">
        <f>HYPERLINK("https://www.centcols.org/util/geo/visuGen.php?code=FR-26-0334","FR-26-0334")</f>
        <v>FR-26-0334</v>
      </c>
      <c r="K301" s="3"/>
      <c r="L301" s="1" t="s">
        <v>5257</v>
      </c>
      <c r="M301" s="8">
        <v>1</v>
      </c>
      <c r="N301" s="8">
        <v>10</v>
      </c>
      <c r="O301" s="4"/>
      <c r="P301" s="3"/>
      <c r="Q301" s="3" t="s">
        <v>4924</v>
      </c>
      <c r="R301" s="3" t="s">
        <v>4925</v>
      </c>
      <c r="S301" s="25">
        <v>5.064376913378275</v>
      </c>
      <c r="T301" s="25">
        <v>44.74820342500593</v>
      </c>
      <c r="U301" s="2">
        <v>31</v>
      </c>
      <c r="V301" s="3">
        <v>663416</v>
      </c>
      <c r="W301" s="3">
        <v>4957053</v>
      </c>
      <c r="X301" s="25">
        <v>3.0307936577640633</v>
      </c>
      <c r="Y301" s="25">
        <v>49.72023757469698</v>
      </c>
      <c r="Z301" s="6"/>
      <c r="AA301" s="7" t="s">
        <v>5138</v>
      </c>
      <c r="AB301" s="8">
        <v>2002</v>
      </c>
      <c r="AC301" s="9"/>
      <c r="AD301" s="10">
        <v>1</v>
      </c>
      <c r="AE301" s="31" t="s">
        <v>4926</v>
      </c>
    </row>
    <row r="302" spans="1:31" ht="12.75">
      <c r="A302" s="4" t="s">
        <v>4927</v>
      </c>
      <c r="B302" s="1" t="s">
        <v>6046</v>
      </c>
      <c r="C302" s="1" t="s">
        <v>4928</v>
      </c>
      <c r="D302" s="1" t="s">
        <v>4929</v>
      </c>
      <c r="E302" s="2">
        <v>371</v>
      </c>
      <c r="F302" s="2">
        <v>60</v>
      </c>
      <c r="G302" s="3" t="s">
        <v>4930</v>
      </c>
      <c r="H302" s="3" t="s">
        <v>4931</v>
      </c>
      <c r="I302" s="3" t="s">
        <v>4932</v>
      </c>
      <c r="J302" s="44" t="str">
        <f>HYPERLINK("https://www.centcols.org/util/geo/visuGen.php?code=FR-26-0371","FR-26-0371")</f>
        <v>FR-26-0371</v>
      </c>
      <c r="K302" s="3" t="s">
        <v>4933</v>
      </c>
      <c r="L302" s="1" t="s">
        <v>5157</v>
      </c>
      <c r="M302" s="8">
        <v>0</v>
      </c>
      <c r="N302" s="8">
        <v>0</v>
      </c>
      <c r="O302" s="4"/>
      <c r="P302" s="3"/>
      <c r="Q302" s="3" t="s">
        <v>4934</v>
      </c>
      <c r="R302" s="3" t="s">
        <v>4935</v>
      </c>
      <c r="S302" s="25">
        <v>5.121899</v>
      </c>
      <c r="T302" s="25">
        <v>44.28968</v>
      </c>
      <c r="U302" s="2">
        <v>31</v>
      </c>
      <c r="V302" s="3">
        <v>669292</v>
      </c>
      <c r="W302" s="3">
        <v>4906237</v>
      </c>
      <c r="X302" s="25">
        <v>3.094698</v>
      </c>
      <c r="Y302" s="25">
        <v>49.210755</v>
      </c>
      <c r="Z302" s="6"/>
      <c r="AA302" s="7" t="s">
        <v>5138</v>
      </c>
      <c r="AB302" s="8">
        <v>2016</v>
      </c>
      <c r="AC302" s="9">
        <v>42593</v>
      </c>
      <c r="AD302" s="10"/>
      <c r="AE302" s="31" t="s">
        <v>4936</v>
      </c>
    </row>
    <row r="303" spans="1:31" ht="12.75">
      <c r="A303" s="4" t="s">
        <v>4937</v>
      </c>
      <c r="B303" s="1" t="s">
        <v>5128</v>
      </c>
      <c r="C303" s="1" t="s">
        <v>4938</v>
      </c>
      <c r="D303" s="1" t="s">
        <v>4939</v>
      </c>
      <c r="E303" s="2">
        <v>410</v>
      </c>
      <c r="F303" s="2">
        <v>52</v>
      </c>
      <c r="G303" s="3" t="s">
        <v>4940</v>
      </c>
      <c r="H303" s="3" t="s">
        <v>4941</v>
      </c>
      <c r="I303" s="3" t="s">
        <v>4942</v>
      </c>
      <c r="J303" s="44" t="str">
        <f>HYPERLINK("https://www.centcols.org/util/geo/visuGen.php?code=FR-26-0410a","FR-26-0410a")</f>
        <v>FR-26-0410a</v>
      </c>
      <c r="K303" s="3" t="s">
        <v>4943</v>
      </c>
      <c r="L303" s="1" t="s">
        <v>4393</v>
      </c>
      <c r="M303" s="8">
        <v>0</v>
      </c>
      <c r="N303" s="8">
        <v>0</v>
      </c>
      <c r="O303" s="4"/>
      <c r="P303" s="3"/>
      <c r="Q303" s="3" t="s">
        <v>4944</v>
      </c>
      <c r="R303" s="3" t="s">
        <v>4945</v>
      </c>
      <c r="S303" s="25">
        <v>5.371029513378243</v>
      </c>
      <c r="T303" s="25">
        <v>44.7542490859115</v>
      </c>
      <c r="U303" s="2">
        <v>31</v>
      </c>
      <c r="V303" s="3">
        <v>687671</v>
      </c>
      <c r="W303" s="3">
        <v>4958386</v>
      </c>
      <c r="X303" s="25">
        <v>3.3715075519351316</v>
      </c>
      <c r="Y303" s="25">
        <v>49.7269521941442</v>
      </c>
      <c r="Z303" s="6"/>
      <c r="AA303" s="7" t="s">
        <v>5138</v>
      </c>
      <c r="AB303" s="8">
        <v>2007</v>
      </c>
      <c r="AC303" s="9"/>
      <c r="AD303" s="10">
        <v>1</v>
      </c>
      <c r="AE303" s="31" t="s">
        <v>4946</v>
      </c>
    </row>
    <row r="304" spans="1:31" ht="22.5">
      <c r="A304" s="4" t="s">
        <v>4947</v>
      </c>
      <c r="B304" s="1" t="s">
        <v>4948</v>
      </c>
      <c r="C304" s="1" t="s">
        <v>4949</v>
      </c>
      <c r="D304" s="1" t="s">
        <v>4950</v>
      </c>
      <c r="E304" s="2">
        <v>416</v>
      </c>
      <c r="F304" s="2">
        <v>52</v>
      </c>
      <c r="G304" s="3" t="s">
        <v>4921</v>
      </c>
      <c r="H304" s="3" t="s">
        <v>4951</v>
      </c>
      <c r="I304" s="3" t="s">
        <v>4952</v>
      </c>
      <c r="J304" s="44" t="str">
        <f>HYPERLINK("https://www.centcols.org/util/geo/visuGen.php?code=FR-26-0416","FR-26-0416")</f>
        <v>FR-26-0416</v>
      </c>
      <c r="K304" s="3" t="s">
        <v>4953</v>
      </c>
      <c r="L304" s="1" t="s">
        <v>4954</v>
      </c>
      <c r="M304" s="8">
        <v>0</v>
      </c>
      <c r="N304" s="8">
        <v>0</v>
      </c>
      <c r="O304" s="4"/>
      <c r="P304" s="3"/>
      <c r="Q304" s="3" t="s">
        <v>4955</v>
      </c>
      <c r="R304" s="3" t="s">
        <v>4956</v>
      </c>
      <c r="S304" s="25">
        <v>5.069404334926485</v>
      </c>
      <c r="T304" s="25">
        <v>44.66579170337061</v>
      </c>
      <c r="U304" s="2">
        <v>31</v>
      </c>
      <c r="V304" s="3">
        <v>664047</v>
      </c>
      <c r="W304" s="3">
        <v>4947908</v>
      </c>
      <c r="X304" s="25">
        <v>3.036378092090268</v>
      </c>
      <c r="Y304" s="25">
        <v>49.628667146796936</v>
      </c>
      <c r="Z304" s="6"/>
      <c r="AA304" s="7" t="s">
        <v>5138</v>
      </c>
      <c r="AB304" s="8">
        <v>2007</v>
      </c>
      <c r="AC304" s="9"/>
      <c r="AD304" s="10">
        <v>1</v>
      </c>
      <c r="AE304" s="31" t="s">
        <v>4196</v>
      </c>
    </row>
    <row r="305" spans="1:31" ht="12.75">
      <c r="A305" s="4" t="s">
        <v>4957</v>
      </c>
      <c r="B305" s="1" t="s">
        <v>5262</v>
      </c>
      <c r="C305" s="1" t="s">
        <v>5806</v>
      </c>
      <c r="D305" s="1" t="s">
        <v>5806</v>
      </c>
      <c r="E305" s="2">
        <v>422</v>
      </c>
      <c r="F305" s="2">
        <v>52</v>
      </c>
      <c r="G305" s="3" t="s">
        <v>4910</v>
      </c>
      <c r="H305" s="3" t="s">
        <v>4958</v>
      </c>
      <c r="I305" s="3" t="s">
        <v>4959</v>
      </c>
      <c r="J305" s="44" t="str">
        <f>HYPERLINK("https://www.centcols.org/util/geo/visuGen.php?code=FR-26-0422","FR-26-0422")</f>
        <v>FR-26-0422</v>
      </c>
      <c r="K305" s="3"/>
      <c r="L305" s="1" t="s">
        <v>5257</v>
      </c>
      <c r="M305" s="8">
        <v>1</v>
      </c>
      <c r="N305" s="8">
        <v>10</v>
      </c>
      <c r="O305" s="4"/>
      <c r="P305" s="3"/>
      <c r="Q305" s="3" t="s">
        <v>4960</v>
      </c>
      <c r="R305" s="3" t="s">
        <v>4961</v>
      </c>
      <c r="S305" s="25">
        <v>4.904731172023486</v>
      </c>
      <c r="T305" s="25">
        <v>44.67751210706748</v>
      </c>
      <c r="U305" s="2">
        <v>31</v>
      </c>
      <c r="V305" s="3">
        <v>650962</v>
      </c>
      <c r="W305" s="3">
        <v>4948892</v>
      </c>
      <c r="X305" s="25">
        <v>2.853414826296341</v>
      </c>
      <c r="Y305" s="25">
        <v>49.64169143936085</v>
      </c>
      <c r="Z305" s="6"/>
      <c r="AA305" s="7" t="s">
        <v>5138</v>
      </c>
      <c r="AB305" s="8" t="s">
        <v>5571</v>
      </c>
      <c r="AC305" s="9">
        <v>40937</v>
      </c>
      <c r="AD305" s="10">
        <v>1</v>
      </c>
      <c r="AE305" s="31" t="s">
        <v>4962</v>
      </c>
    </row>
    <row r="306" spans="1:31" ht="12.75">
      <c r="A306" s="4" t="s">
        <v>4963</v>
      </c>
      <c r="B306" s="1" t="s">
        <v>5731</v>
      </c>
      <c r="C306" s="1" t="s">
        <v>4964</v>
      </c>
      <c r="D306" s="1" t="s">
        <v>4965</v>
      </c>
      <c r="E306" s="2">
        <v>500</v>
      </c>
      <c r="F306" s="2">
        <v>60</v>
      </c>
      <c r="G306" s="3" t="s">
        <v>4966</v>
      </c>
      <c r="H306" s="3" t="s">
        <v>4967</v>
      </c>
      <c r="I306" s="3" t="s">
        <v>4968</v>
      </c>
      <c r="J306" s="44" t="str">
        <f>HYPERLINK("https://www.centcols.org/util/geo/visuGen.php?code=FR-26-0500","FR-26-0500")</f>
        <v>FR-26-0500</v>
      </c>
      <c r="K306" s="3"/>
      <c r="L306" s="1"/>
      <c r="M306" s="8">
        <v>99</v>
      </c>
      <c r="N306" s="8">
        <v>20</v>
      </c>
      <c r="O306" s="4"/>
      <c r="P306" s="3"/>
      <c r="Q306" s="3" t="s">
        <v>4969</v>
      </c>
      <c r="R306" s="3" t="s">
        <v>4970</v>
      </c>
      <c r="S306" s="25">
        <v>4.976143220453284</v>
      </c>
      <c r="T306" s="25">
        <v>44.54986107589753</v>
      </c>
      <c r="U306" s="2">
        <v>31</v>
      </c>
      <c r="V306" s="3">
        <v>656966</v>
      </c>
      <c r="W306" s="3">
        <v>4934847</v>
      </c>
      <c r="X306" s="25">
        <v>2.9327565841289167</v>
      </c>
      <c r="Y306" s="25">
        <v>49.49985302465738</v>
      </c>
      <c r="Z306" s="6"/>
      <c r="AA306" s="7" t="s">
        <v>5138</v>
      </c>
      <c r="AB306" s="8">
        <v>2008</v>
      </c>
      <c r="AC306" s="9"/>
      <c r="AD306" s="10">
        <v>1</v>
      </c>
      <c r="AE306" s="31" t="s">
        <v>4971</v>
      </c>
    </row>
    <row r="307" spans="1:31" ht="12.75">
      <c r="A307" s="4" t="s">
        <v>4972</v>
      </c>
      <c r="B307" s="1" t="s">
        <v>5731</v>
      </c>
      <c r="C307" s="1" t="s">
        <v>4973</v>
      </c>
      <c r="D307" s="1" t="s">
        <v>4974</v>
      </c>
      <c r="E307" s="2">
        <v>501</v>
      </c>
      <c r="F307" s="2">
        <v>52</v>
      </c>
      <c r="G307" s="3" t="s">
        <v>4940</v>
      </c>
      <c r="H307" s="3" t="s">
        <v>4975</v>
      </c>
      <c r="I307" s="3" t="s">
        <v>4976</v>
      </c>
      <c r="J307" s="44" t="str">
        <f>HYPERLINK("https://www.centcols.org/util/geo/visuGen.php?code=FR-26-0501b","FR-26-0501b")</f>
        <v>FR-26-0501b</v>
      </c>
      <c r="K307" s="3" t="s">
        <v>4977</v>
      </c>
      <c r="L307" s="1" t="s">
        <v>4978</v>
      </c>
      <c r="M307" s="8">
        <v>0</v>
      </c>
      <c r="N307" s="8">
        <v>0</v>
      </c>
      <c r="O307" s="4"/>
      <c r="P307" s="3"/>
      <c r="Q307" s="3" t="s">
        <v>4979</v>
      </c>
      <c r="R307" s="3" t="s">
        <v>4980</v>
      </c>
      <c r="S307" s="25">
        <v>5.368787275544284</v>
      </c>
      <c r="T307" s="25">
        <v>44.78497435143404</v>
      </c>
      <c r="U307" s="2">
        <v>31</v>
      </c>
      <c r="V307" s="3">
        <v>687394</v>
      </c>
      <c r="W307" s="3">
        <v>4961794</v>
      </c>
      <c r="X307" s="25">
        <v>3.3690165288438263</v>
      </c>
      <c r="Y307" s="25">
        <v>49.76109214440949</v>
      </c>
      <c r="Z307" s="6"/>
      <c r="AA307" s="7" t="s">
        <v>5138</v>
      </c>
      <c r="AB307" s="8">
        <v>2001</v>
      </c>
      <c r="AC307" s="9"/>
      <c r="AD307" s="10">
        <v>1</v>
      </c>
      <c r="AE307" s="31" t="s">
        <v>4981</v>
      </c>
    </row>
    <row r="308" spans="1:31" ht="12.75">
      <c r="A308" s="4" t="s">
        <v>4982</v>
      </c>
      <c r="B308" s="1" t="s">
        <v>5923</v>
      </c>
      <c r="C308" s="1" t="s">
        <v>4983</v>
      </c>
      <c r="D308" s="1" t="s">
        <v>4984</v>
      </c>
      <c r="E308" s="2">
        <v>504</v>
      </c>
      <c r="F308" s="2">
        <v>52</v>
      </c>
      <c r="G308" s="3" t="s">
        <v>4921</v>
      </c>
      <c r="H308" s="3" t="s">
        <v>4985</v>
      </c>
      <c r="I308" s="3" t="s">
        <v>4986</v>
      </c>
      <c r="J308" s="44" t="str">
        <f>HYPERLINK("https://www.centcols.org/util/geo/visuGen.php?code=FR-26-0504","FR-26-0504")</f>
        <v>FR-26-0504</v>
      </c>
      <c r="K308" s="3" t="s">
        <v>4987</v>
      </c>
      <c r="L308" s="1" t="s">
        <v>4954</v>
      </c>
      <c r="M308" s="8">
        <v>0</v>
      </c>
      <c r="N308" s="8">
        <v>0</v>
      </c>
      <c r="O308" s="4"/>
      <c r="P308" s="3"/>
      <c r="Q308" s="3" t="s">
        <v>4988</v>
      </c>
      <c r="R308" s="3" t="s">
        <v>4989</v>
      </c>
      <c r="S308" s="25">
        <v>5.076971184708343</v>
      </c>
      <c r="T308" s="25">
        <v>44.66240440052563</v>
      </c>
      <c r="U308" s="2">
        <v>31</v>
      </c>
      <c r="V308" s="3">
        <v>664656</v>
      </c>
      <c r="W308" s="3">
        <v>4947547</v>
      </c>
      <c r="X308" s="25">
        <v>3.044785335550351</v>
      </c>
      <c r="Y308" s="25">
        <v>49.62490333345483</v>
      </c>
      <c r="Z308" s="6"/>
      <c r="AA308" s="7" t="s">
        <v>5138</v>
      </c>
      <c r="AB308" s="8">
        <v>2008</v>
      </c>
      <c r="AC308" s="9"/>
      <c r="AD308" s="10">
        <v>1</v>
      </c>
      <c r="AE308" s="31" t="s">
        <v>4917</v>
      </c>
    </row>
    <row r="309" spans="1:31" ht="12.75">
      <c r="A309" s="4" t="s">
        <v>4990</v>
      </c>
      <c r="B309" s="1" t="s">
        <v>5731</v>
      </c>
      <c r="C309" s="1" t="s">
        <v>4973</v>
      </c>
      <c r="D309" s="1" t="s">
        <v>4974</v>
      </c>
      <c r="E309" s="2">
        <v>530</v>
      </c>
      <c r="F309" s="2">
        <v>52</v>
      </c>
      <c r="G309" s="3" t="s">
        <v>4940</v>
      </c>
      <c r="H309" s="3" t="s">
        <v>4991</v>
      </c>
      <c r="I309" s="3" t="s">
        <v>4992</v>
      </c>
      <c r="J309" s="44" t="str">
        <f>HYPERLINK("https://www.centcols.org/util/geo/visuGen.php?code=FR-26-0530a","FR-26-0530a")</f>
        <v>FR-26-0530a</v>
      </c>
      <c r="K309" s="3" t="s">
        <v>4993</v>
      </c>
      <c r="L309" s="1" t="s">
        <v>4994</v>
      </c>
      <c r="M309" s="8">
        <v>0</v>
      </c>
      <c r="N309" s="8">
        <v>0</v>
      </c>
      <c r="O309" s="4"/>
      <c r="P309" s="3"/>
      <c r="Q309" s="3" t="s">
        <v>4995</v>
      </c>
      <c r="R309" s="3" t="s">
        <v>4996</v>
      </c>
      <c r="S309" s="25">
        <v>5.348376790105918</v>
      </c>
      <c r="T309" s="25">
        <v>44.7922507052354</v>
      </c>
      <c r="U309" s="2">
        <v>31</v>
      </c>
      <c r="V309" s="3">
        <v>685756</v>
      </c>
      <c r="W309" s="3">
        <v>4962555</v>
      </c>
      <c r="X309" s="25">
        <v>3.346339086684437</v>
      </c>
      <c r="Y309" s="25">
        <v>49.769177250876375</v>
      </c>
      <c r="Z309" s="6"/>
      <c r="AA309" s="7" t="s">
        <v>5138</v>
      </c>
      <c r="AB309" s="8"/>
      <c r="AC309" s="9"/>
      <c r="AD309" s="10">
        <v>1</v>
      </c>
      <c r="AE309" s="31" t="s">
        <v>4981</v>
      </c>
    </row>
    <row r="310" spans="1:31" ht="12.75">
      <c r="A310" s="4" t="s">
        <v>4997</v>
      </c>
      <c r="B310" s="1" t="s">
        <v>5731</v>
      </c>
      <c r="C310" s="1" t="s">
        <v>4964</v>
      </c>
      <c r="D310" s="1" t="s">
        <v>4965</v>
      </c>
      <c r="E310" s="2">
        <v>408</v>
      </c>
      <c r="F310" s="2">
        <v>52</v>
      </c>
      <c r="G310" s="3" t="s">
        <v>4966</v>
      </c>
      <c r="H310" s="3" t="s">
        <v>4998</v>
      </c>
      <c r="I310" s="3" t="s">
        <v>4999</v>
      </c>
      <c r="J310" s="44" t="str">
        <f>HYPERLINK("https://www.centcols.org/util/geo/visuGen.php?code=FR-26-0550b","FR-26-0550b")</f>
        <v>FR-26-0550b</v>
      </c>
      <c r="K310" s="3"/>
      <c r="L310" s="1" t="s">
        <v>5138</v>
      </c>
      <c r="M310" s="8">
        <v>35</v>
      </c>
      <c r="N310" s="8">
        <v>10</v>
      </c>
      <c r="O310" s="4"/>
      <c r="P310" s="3"/>
      <c r="Q310" s="3" t="s">
        <v>5000</v>
      </c>
      <c r="R310" s="3" t="s">
        <v>5001</v>
      </c>
      <c r="S310" s="25">
        <v>4.972507528722609</v>
      </c>
      <c r="T310" s="25">
        <v>44.55012178410793</v>
      </c>
      <c r="U310" s="2">
        <v>31</v>
      </c>
      <c r="V310" s="3">
        <v>656676</v>
      </c>
      <c r="W310" s="3">
        <v>4934869</v>
      </c>
      <c r="X310" s="25">
        <v>2.9287170819093595</v>
      </c>
      <c r="Y310" s="25">
        <v>49.50014273897024</v>
      </c>
      <c r="Z310" s="6"/>
      <c r="AA310" s="7" t="s">
        <v>5176</v>
      </c>
      <c r="AB310" s="8" t="s">
        <v>5002</v>
      </c>
      <c r="AC310" s="9"/>
      <c r="AD310" s="10">
        <v>1</v>
      </c>
      <c r="AE310" s="31" t="s">
        <v>5003</v>
      </c>
    </row>
    <row r="311" spans="1:31" ht="12.75">
      <c r="A311" s="4" t="s">
        <v>5004</v>
      </c>
      <c r="B311" s="1" t="s">
        <v>5262</v>
      </c>
      <c r="C311" s="1" t="s">
        <v>5806</v>
      </c>
      <c r="D311" s="1" t="s">
        <v>5806</v>
      </c>
      <c r="E311" s="2">
        <v>555</v>
      </c>
      <c r="F311" s="2">
        <v>60</v>
      </c>
      <c r="G311" s="3" t="s">
        <v>5005</v>
      </c>
      <c r="H311" s="3" t="s">
        <v>5006</v>
      </c>
      <c r="I311" s="3" t="s">
        <v>5007</v>
      </c>
      <c r="J311" s="44" t="str">
        <f>HYPERLINK("https://www.centcols.org/util/geo/visuGen.php?code=FR-26-0550d","FR-26-0550d")</f>
        <v>FR-26-0550d</v>
      </c>
      <c r="K311" s="3"/>
      <c r="L311" s="1" t="s">
        <v>5257</v>
      </c>
      <c r="M311" s="8">
        <v>1</v>
      </c>
      <c r="N311" s="8">
        <v>10</v>
      </c>
      <c r="O311" s="4"/>
      <c r="P311" s="3"/>
      <c r="Q311" s="3" t="s">
        <v>5008</v>
      </c>
      <c r="R311" s="3" t="s">
        <v>5009</v>
      </c>
      <c r="S311" s="25">
        <v>5.377123</v>
      </c>
      <c r="T311" s="25">
        <v>44.437769</v>
      </c>
      <c r="U311" s="2">
        <v>31</v>
      </c>
      <c r="V311" s="3">
        <v>689178</v>
      </c>
      <c r="W311" s="3">
        <v>4923245</v>
      </c>
      <c r="X311" s="25">
        <v>3.378274</v>
      </c>
      <c r="Y311" s="25">
        <v>49.375301</v>
      </c>
      <c r="Z311" s="6"/>
      <c r="AA311" s="7" t="s">
        <v>5176</v>
      </c>
      <c r="AB311" s="8" t="s">
        <v>5571</v>
      </c>
      <c r="AC311" s="9"/>
      <c r="AD311" s="10">
        <v>1</v>
      </c>
      <c r="AE311" s="31" t="s">
        <v>5010</v>
      </c>
    </row>
    <row r="312" spans="1:31" ht="12.75">
      <c r="A312" s="4" t="s">
        <v>5011</v>
      </c>
      <c r="B312" s="1" t="s">
        <v>5991</v>
      </c>
      <c r="C312" s="1" t="s">
        <v>5012</v>
      </c>
      <c r="D312" s="1" t="s">
        <v>5013</v>
      </c>
      <c r="E312" s="2">
        <v>600</v>
      </c>
      <c r="F312" s="2">
        <v>60</v>
      </c>
      <c r="G312" s="3" t="s">
        <v>5014</v>
      </c>
      <c r="H312" s="3" t="s">
        <v>5015</v>
      </c>
      <c r="I312" s="3" t="s">
        <v>5016</v>
      </c>
      <c r="J312" s="44" t="str">
        <f>HYPERLINK("https://www.centcols.org/util/geo/visuGen.php?code=FR-26-0569","FR-26-0569")</f>
        <v>FR-26-0569</v>
      </c>
      <c r="K312" s="3"/>
      <c r="L312" s="1"/>
      <c r="M312" s="8">
        <v>99</v>
      </c>
      <c r="N312" s="8">
        <v>20</v>
      </c>
      <c r="O312" s="4"/>
      <c r="P312" s="3"/>
      <c r="Q312" s="3" t="s">
        <v>5017</v>
      </c>
      <c r="R312" s="3" t="s">
        <v>5018</v>
      </c>
      <c r="S312" s="25">
        <v>5.213415856786041</v>
      </c>
      <c r="T312" s="25">
        <v>44.26793972750625</v>
      </c>
      <c r="U312" s="2">
        <v>31</v>
      </c>
      <c r="V312" s="3">
        <v>676659</v>
      </c>
      <c r="W312" s="3">
        <v>4904015</v>
      </c>
      <c r="X312" s="25">
        <v>3.1963800791040673</v>
      </c>
      <c r="Y312" s="25">
        <v>49.18659814645756</v>
      </c>
      <c r="Z312" s="6"/>
      <c r="AA312" s="7" t="s">
        <v>5176</v>
      </c>
      <c r="AB312" s="8" t="s">
        <v>5711</v>
      </c>
      <c r="AC312" s="9"/>
      <c r="AD312" s="10">
        <v>1</v>
      </c>
      <c r="AE312" s="31" t="s">
        <v>5019</v>
      </c>
    </row>
    <row r="313" spans="1:31" ht="12.75">
      <c r="A313" s="83" t="s">
        <v>6832</v>
      </c>
      <c r="B313" s="37" t="s">
        <v>5815</v>
      </c>
      <c r="C313" s="37" t="s">
        <v>6833</v>
      </c>
      <c r="D313" s="37" t="s">
        <v>6834</v>
      </c>
      <c r="E313" s="38">
        <v>576</v>
      </c>
      <c r="F313" s="38">
        <v>60</v>
      </c>
      <c r="G313" s="39" t="s">
        <v>938</v>
      </c>
      <c r="H313" s="39" t="s">
        <v>6835</v>
      </c>
      <c r="I313" s="39" t="s">
        <v>6836</v>
      </c>
      <c r="J313" s="35" t="str">
        <f>HYPERLINK("https://www.centcols.org/util/geo/visuGen.php?code=FR-26-0576a","FR-26-0576a")</f>
        <v>FR-26-0576a</v>
      </c>
      <c r="K313" s="39" t="s">
        <v>6837</v>
      </c>
      <c r="L313" s="37" t="s">
        <v>6840</v>
      </c>
      <c r="M313" s="38">
        <v>0</v>
      </c>
      <c r="N313" s="38">
        <v>0</v>
      </c>
      <c r="O313" s="39"/>
      <c r="P313" s="39"/>
      <c r="Q313" s="39" t="s">
        <v>6838</v>
      </c>
      <c r="R313" s="39" t="s">
        <v>6982</v>
      </c>
      <c r="S313" s="40">
        <v>5.22840852872252</v>
      </c>
      <c r="T313" s="40">
        <v>44.2188380574056</v>
      </c>
      <c r="U313" s="41">
        <v>31</v>
      </c>
      <c r="V313" s="3">
        <v>678004</v>
      </c>
      <c r="W313" s="3">
        <v>4898594</v>
      </c>
      <c r="X313" s="40">
        <v>3.2130371419179116</v>
      </c>
      <c r="Y313" s="40">
        <v>49.13203922287948</v>
      </c>
      <c r="AA313" s="19" t="s">
        <v>5138</v>
      </c>
      <c r="AB313" s="52">
        <v>2020</v>
      </c>
      <c r="AE313" s="53" t="s">
        <v>6839</v>
      </c>
    </row>
    <row r="314" spans="1:31" ht="12.75">
      <c r="A314" s="4" t="s">
        <v>5020</v>
      </c>
      <c r="B314" s="1" t="s">
        <v>5589</v>
      </c>
      <c r="C314" s="1" t="s">
        <v>5805</v>
      </c>
      <c r="D314" s="1" t="s">
        <v>5806</v>
      </c>
      <c r="E314" s="2">
        <v>635</v>
      </c>
      <c r="F314" s="2">
        <v>52</v>
      </c>
      <c r="G314" s="3" t="s">
        <v>5021</v>
      </c>
      <c r="H314" s="3" t="s">
        <v>5022</v>
      </c>
      <c r="I314" s="3" t="s">
        <v>5023</v>
      </c>
      <c r="J314" s="44" t="str">
        <f>HYPERLINK("https://www.centcols.org/util/geo/visuGen.php?code=FR-26-0635a","FR-26-0635a")</f>
        <v>FR-26-0635a</v>
      </c>
      <c r="K314" s="3" t="s">
        <v>5024</v>
      </c>
      <c r="L314" s="1" t="s">
        <v>5025</v>
      </c>
      <c r="M314" s="8">
        <v>0</v>
      </c>
      <c r="N314" s="8">
        <v>0</v>
      </c>
      <c r="O314" s="4"/>
      <c r="P314" s="3"/>
      <c r="Q314" s="3" t="s">
        <v>5026</v>
      </c>
      <c r="R314" s="3" t="s">
        <v>5027</v>
      </c>
      <c r="S314" s="25">
        <v>5.091670892992163</v>
      </c>
      <c r="T314" s="25">
        <v>44.56175189722245</v>
      </c>
      <c r="U314" s="2">
        <v>31</v>
      </c>
      <c r="V314" s="3">
        <v>666108</v>
      </c>
      <c r="W314" s="3">
        <v>4936396</v>
      </c>
      <c r="X314" s="25">
        <v>3.0611161288742235</v>
      </c>
      <c r="Y314" s="25">
        <v>49.51306459271262</v>
      </c>
      <c r="Z314" s="6"/>
      <c r="AA314" s="7" t="s">
        <v>5138</v>
      </c>
      <c r="AB314" s="8" t="s">
        <v>5571</v>
      </c>
      <c r="AC314" s="9">
        <v>41214</v>
      </c>
      <c r="AD314" s="10">
        <v>1</v>
      </c>
      <c r="AE314" s="31" t="s">
        <v>4962</v>
      </c>
    </row>
    <row r="315" spans="1:31" ht="12.75">
      <c r="A315" s="4" t="s">
        <v>5028</v>
      </c>
      <c r="B315" s="1" t="s">
        <v>5704</v>
      </c>
      <c r="C315" s="1" t="s">
        <v>5895</v>
      </c>
      <c r="D315" s="1" t="s">
        <v>5896</v>
      </c>
      <c r="E315" s="2">
        <v>640</v>
      </c>
      <c r="F315" s="2">
        <v>52</v>
      </c>
      <c r="G315" s="3" t="s">
        <v>5029</v>
      </c>
      <c r="H315" s="3" t="s">
        <v>5030</v>
      </c>
      <c r="I315" s="3" t="s">
        <v>5031</v>
      </c>
      <c r="J315" s="44" t="str">
        <f>HYPERLINK("https://www.centcols.org/util/geo/visuGen.php?code=FR-26-0640a","FR-26-0640a")</f>
        <v>FR-26-0640a</v>
      </c>
      <c r="K315" s="3" t="s">
        <v>5032</v>
      </c>
      <c r="L315" s="1" t="s">
        <v>4954</v>
      </c>
      <c r="M315" s="8">
        <v>0</v>
      </c>
      <c r="N315" s="8">
        <v>0</v>
      </c>
      <c r="O315" s="4"/>
      <c r="P315" s="3"/>
      <c r="Q315" s="3" t="s">
        <v>5033</v>
      </c>
      <c r="R315" s="3" t="s">
        <v>5034</v>
      </c>
      <c r="S315" s="25">
        <v>5.238033</v>
      </c>
      <c r="T315" s="25">
        <v>44.971928</v>
      </c>
      <c r="U315" s="2">
        <v>31</v>
      </c>
      <c r="V315" s="3">
        <v>676477</v>
      </c>
      <c r="W315" s="3">
        <v>4982269</v>
      </c>
      <c r="X315" s="25">
        <v>3.223741</v>
      </c>
      <c r="Y315" s="25">
        <v>49.968824</v>
      </c>
      <c r="Z315" s="6"/>
      <c r="AA315" s="7" t="s">
        <v>5138</v>
      </c>
      <c r="AB315" s="8">
        <v>2015</v>
      </c>
      <c r="AC315" s="9">
        <v>42297</v>
      </c>
      <c r="AD315" s="10"/>
      <c r="AE315" s="31" t="s">
        <v>5035</v>
      </c>
    </row>
    <row r="316" spans="1:31" ht="12.75">
      <c r="A316" s="4" t="s">
        <v>5036</v>
      </c>
      <c r="B316" s="1" t="s">
        <v>5704</v>
      </c>
      <c r="C316" s="1" t="s">
        <v>5037</v>
      </c>
      <c r="D316" s="1" t="s">
        <v>5038</v>
      </c>
      <c r="E316" s="2">
        <v>700</v>
      </c>
      <c r="F316" s="2">
        <v>52</v>
      </c>
      <c r="G316" s="3" t="s">
        <v>5005</v>
      </c>
      <c r="H316" s="3" t="s">
        <v>5039</v>
      </c>
      <c r="I316" s="3" t="s">
        <v>5040</v>
      </c>
      <c r="J316" s="44" t="str">
        <f>HYPERLINK("https://www.centcols.org/util/geo/visuGen.php?code=FR-26-0710","FR-26-0710")</f>
        <v>FR-26-0710</v>
      </c>
      <c r="K316" s="3"/>
      <c r="L316" s="1"/>
      <c r="M316" s="8">
        <v>99</v>
      </c>
      <c r="N316" s="8">
        <v>20</v>
      </c>
      <c r="O316" s="4"/>
      <c r="P316" s="3"/>
      <c r="Q316" s="3" t="s">
        <v>5041</v>
      </c>
      <c r="R316" s="3" t="s">
        <v>5042</v>
      </c>
      <c r="S316" s="25">
        <v>5.321694528722512</v>
      </c>
      <c r="T316" s="25">
        <v>44.434064391804625</v>
      </c>
      <c r="U316" s="2">
        <v>31</v>
      </c>
      <c r="V316" s="3">
        <v>684778</v>
      </c>
      <c r="W316" s="3">
        <v>4922707</v>
      </c>
      <c r="X316" s="25">
        <v>3.316688652690725</v>
      </c>
      <c r="Y316" s="25">
        <v>49.371185205268766</v>
      </c>
      <c r="Z316" s="6"/>
      <c r="AA316" s="7" t="s">
        <v>5176</v>
      </c>
      <c r="AB316" s="8" t="s">
        <v>5833</v>
      </c>
      <c r="AC316" s="9"/>
      <c r="AD316" s="10">
        <v>1</v>
      </c>
      <c r="AE316" s="31" t="s">
        <v>5043</v>
      </c>
    </row>
    <row r="317" spans="1:31" ht="12.75">
      <c r="A317" s="4" t="s">
        <v>5044</v>
      </c>
      <c r="B317" s="1" t="s">
        <v>5731</v>
      </c>
      <c r="C317" s="1" t="s">
        <v>5045</v>
      </c>
      <c r="D317" s="1" t="s">
        <v>5046</v>
      </c>
      <c r="E317" s="2">
        <v>739</v>
      </c>
      <c r="F317" s="2">
        <v>52</v>
      </c>
      <c r="G317" s="3" t="s">
        <v>4940</v>
      </c>
      <c r="H317" s="3" t="s">
        <v>5047</v>
      </c>
      <c r="I317" s="3" t="s">
        <v>5048</v>
      </c>
      <c r="J317" s="44" t="str">
        <f>HYPERLINK("https://www.centcols.org/util/geo/visuGen.php?code=FR-26-0739","FR-26-0739")</f>
        <v>FR-26-0739</v>
      </c>
      <c r="K317" s="3"/>
      <c r="L317" s="1" t="s">
        <v>5176</v>
      </c>
      <c r="M317" s="8">
        <v>99</v>
      </c>
      <c r="N317" s="8">
        <v>15</v>
      </c>
      <c r="O317" s="4"/>
      <c r="P317" s="3"/>
      <c r="Q317" s="3" t="s">
        <v>5049</v>
      </c>
      <c r="R317" s="3" t="s">
        <v>5050</v>
      </c>
      <c r="S317" s="25">
        <v>5.23352</v>
      </c>
      <c r="T317" s="25">
        <v>44.709258</v>
      </c>
      <c r="U317" s="2">
        <v>31</v>
      </c>
      <c r="V317" s="3">
        <v>676924</v>
      </c>
      <c r="W317" s="3">
        <v>4953080</v>
      </c>
      <c r="X317" s="25">
        <v>3.218724</v>
      </c>
      <c r="Y317" s="25">
        <v>49.676962</v>
      </c>
      <c r="Z317" s="6"/>
      <c r="AA317" s="7" t="s">
        <v>5176</v>
      </c>
      <c r="AB317" s="8">
        <v>2016</v>
      </c>
      <c r="AC317" s="9"/>
      <c r="AD317" s="10"/>
      <c r="AE317" s="31" t="s">
        <v>5051</v>
      </c>
    </row>
    <row r="318" spans="1:31" ht="12.75">
      <c r="A318" s="4" t="s">
        <v>5052</v>
      </c>
      <c r="B318" s="1" t="s">
        <v>5589</v>
      </c>
      <c r="C318" s="1" t="s">
        <v>5805</v>
      </c>
      <c r="D318" s="1" t="s">
        <v>5806</v>
      </c>
      <c r="E318" s="2">
        <v>753</v>
      </c>
      <c r="F318" s="2">
        <v>52</v>
      </c>
      <c r="G318" s="3" t="s">
        <v>5053</v>
      </c>
      <c r="H318" s="3" t="s">
        <v>5054</v>
      </c>
      <c r="I318" s="3" t="s">
        <v>5055</v>
      </c>
      <c r="J318" s="44" t="str">
        <f>HYPERLINK("https://www.centcols.org/util/geo/visuGen.php?code=FR-26-0753","FR-26-0753")</f>
        <v>FR-26-0753</v>
      </c>
      <c r="K318" s="3"/>
      <c r="L318" s="1" t="s">
        <v>5138</v>
      </c>
      <c r="M318" s="8">
        <v>35</v>
      </c>
      <c r="N318" s="8">
        <v>10</v>
      </c>
      <c r="O318" s="4"/>
      <c r="P318" s="3"/>
      <c r="Q318" s="3" t="s">
        <v>5056</v>
      </c>
      <c r="R318" s="3" t="s">
        <v>5057</v>
      </c>
      <c r="S318" s="25">
        <v>5.255534083420915</v>
      </c>
      <c r="T318" s="25">
        <v>44.578173867914856</v>
      </c>
      <c r="U318" s="2">
        <v>31</v>
      </c>
      <c r="V318" s="3">
        <v>679071</v>
      </c>
      <c r="W318" s="3">
        <v>4938567</v>
      </c>
      <c r="X318" s="25">
        <v>3.243181105138733</v>
      </c>
      <c r="Y318" s="25">
        <v>49.53131025695568</v>
      </c>
      <c r="Z318" s="6"/>
      <c r="AA318" s="7" t="s">
        <v>5176</v>
      </c>
      <c r="AB318" s="8" t="s">
        <v>5833</v>
      </c>
      <c r="AC318" s="9"/>
      <c r="AD318" s="10">
        <v>1</v>
      </c>
      <c r="AE318" s="31" t="s">
        <v>5058</v>
      </c>
    </row>
    <row r="319" spans="1:31" ht="12.75">
      <c r="A319" s="50" t="s">
        <v>5059</v>
      </c>
      <c r="B319" s="62" t="s">
        <v>5574</v>
      </c>
      <c r="C319" s="62" t="s">
        <v>5060</v>
      </c>
      <c r="D319" s="62" t="s">
        <v>5061</v>
      </c>
      <c r="E319" s="19">
        <v>765</v>
      </c>
      <c r="F319" s="2">
        <v>52</v>
      </c>
      <c r="G319" s="3" t="s">
        <v>5062</v>
      </c>
      <c r="H319" s="3" t="s">
        <v>5063</v>
      </c>
      <c r="I319" s="3" t="s">
        <v>5064</v>
      </c>
      <c r="J319" s="44" t="str">
        <f>HYPERLINK("https://www.centcols.org/util/geo/visuGen.php?code=FR-26-0765a","FR-26-0765a")</f>
        <v>FR-26-0765a</v>
      </c>
      <c r="K319" s="3"/>
      <c r="L319" s="1" t="s">
        <v>5176</v>
      </c>
      <c r="M319" s="2">
        <v>99</v>
      </c>
      <c r="N319" s="2">
        <v>10</v>
      </c>
      <c r="O319" s="5"/>
      <c r="P319" s="3"/>
      <c r="Q319" s="3" t="s">
        <v>5065</v>
      </c>
      <c r="R319" s="3" t="s">
        <v>5066</v>
      </c>
      <c r="S319" s="25">
        <v>5.09106</v>
      </c>
      <c r="T319" s="25">
        <v>44.84414</v>
      </c>
      <c r="U319" s="22">
        <v>31</v>
      </c>
      <c r="V319" s="3">
        <v>665254</v>
      </c>
      <c r="W319" s="3">
        <v>4967764</v>
      </c>
      <c r="X319" s="25">
        <v>3.0604416660015845</v>
      </c>
      <c r="Y319" s="25">
        <v>49.82683541476444</v>
      </c>
      <c r="Z319" s="61"/>
      <c r="AA319" s="54" t="s">
        <v>5138</v>
      </c>
      <c r="AB319" s="54">
        <v>2013</v>
      </c>
      <c r="AC319" s="57"/>
      <c r="AD319" s="54"/>
      <c r="AE319" s="61" t="s">
        <v>5067</v>
      </c>
    </row>
    <row r="320" spans="1:31" ht="12.75">
      <c r="A320" s="4" t="s">
        <v>5068</v>
      </c>
      <c r="B320" s="1" t="s">
        <v>5069</v>
      </c>
      <c r="C320" s="1" t="s">
        <v>5070</v>
      </c>
      <c r="D320" s="1" t="s">
        <v>5071</v>
      </c>
      <c r="E320" s="2">
        <v>770</v>
      </c>
      <c r="F320" s="2">
        <v>60</v>
      </c>
      <c r="G320" s="3" t="s">
        <v>5005</v>
      </c>
      <c r="H320" s="3" t="s">
        <v>5072</v>
      </c>
      <c r="I320" s="3" t="s">
        <v>5073</v>
      </c>
      <c r="J320" s="44" t="str">
        <f>HYPERLINK("https://www.centcols.org/util/geo/visuGen.php?code=FR-26-0770","FR-26-0770")</f>
        <v>FR-26-0770</v>
      </c>
      <c r="K320" s="3"/>
      <c r="L320" s="1" t="s">
        <v>5074</v>
      </c>
      <c r="M320" s="8">
        <v>2</v>
      </c>
      <c r="N320" s="8">
        <v>15</v>
      </c>
      <c r="O320" s="4"/>
      <c r="P320" s="3"/>
      <c r="Q320" s="3" t="s">
        <v>5075</v>
      </c>
      <c r="R320" s="3" t="s">
        <v>5076</v>
      </c>
      <c r="S320" s="25">
        <v>5.385672</v>
      </c>
      <c r="T320" s="25">
        <v>44.309037</v>
      </c>
      <c r="U320" s="2">
        <v>31</v>
      </c>
      <c r="V320" s="3">
        <v>690275</v>
      </c>
      <c r="W320" s="3">
        <v>4908966</v>
      </c>
      <c r="X320" s="25">
        <v>3.38777</v>
      </c>
      <c r="Y320" s="25">
        <v>49.232263</v>
      </c>
      <c r="Z320" s="6"/>
      <c r="AA320" s="7" t="s">
        <v>5176</v>
      </c>
      <c r="AB320" s="8" t="s">
        <v>5571</v>
      </c>
      <c r="AC320" s="9">
        <v>41225</v>
      </c>
      <c r="AD320" s="10">
        <v>1</v>
      </c>
      <c r="AE320" s="31" t="s">
        <v>5077</v>
      </c>
    </row>
    <row r="321" spans="1:31" ht="12.75">
      <c r="A321" s="4" t="s">
        <v>5078</v>
      </c>
      <c r="B321" s="1" t="s">
        <v>5262</v>
      </c>
      <c r="C321" s="1" t="s">
        <v>6539</v>
      </c>
      <c r="D321" s="1" t="s">
        <v>6539</v>
      </c>
      <c r="E321" s="2">
        <v>795</v>
      </c>
      <c r="F321" s="2">
        <v>52</v>
      </c>
      <c r="G321" s="3" t="s">
        <v>4921</v>
      </c>
      <c r="H321" s="3" t="s">
        <v>5079</v>
      </c>
      <c r="I321" s="3" t="s">
        <v>5080</v>
      </c>
      <c r="J321" s="44" t="str">
        <f>HYPERLINK("https://www.centcols.org/util/geo/visuGen.php?code=FR-26-0795a","FR-26-0795a")</f>
        <v>FR-26-0795a</v>
      </c>
      <c r="K321" s="3"/>
      <c r="L321" s="1" t="s">
        <v>5081</v>
      </c>
      <c r="M321" s="8">
        <v>40</v>
      </c>
      <c r="N321" s="8">
        <v>15</v>
      </c>
      <c r="O321" s="4"/>
      <c r="P321" s="3"/>
      <c r="Q321" s="3" t="s">
        <v>5082</v>
      </c>
      <c r="R321" s="3" t="s">
        <v>5083</v>
      </c>
      <c r="S321" s="25">
        <v>5.049963</v>
      </c>
      <c r="T321" s="25">
        <v>44.658121</v>
      </c>
      <c r="U321" s="2">
        <v>31</v>
      </c>
      <c r="V321" s="3">
        <v>662527</v>
      </c>
      <c r="W321" s="3">
        <v>4947017</v>
      </c>
      <c r="X321" s="25">
        <v>3.014777</v>
      </c>
      <c r="Y321" s="25">
        <v>49.620144</v>
      </c>
      <c r="Z321" s="6"/>
      <c r="AA321" s="7" t="s">
        <v>5176</v>
      </c>
      <c r="AB321" s="8">
        <v>2016</v>
      </c>
      <c r="AC321" s="9"/>
      <c r="AD321" s="10"/>
      <c r="AE321" s="31" t="s">
        <v>5084</v>
      </c>
    </row>
    <row r="322" spans="1:31" ht="12.75">
      <c r="A322" s="4" t="s">
        <v>5085</v>
      </c>
      <c r="B322" s="1" t="s">
        <v>4052</v>
      </c>
      <c r="C322" s="1" t="s">
        <v>5086</v>
      </c>
      <c r="D322" s="1" t="s">
        <v>5087</v>
      </c>
      <c r="E322" s="2">
        <v>800</v>
      </c>
      <c r="F322" s="2">
        <v>52</v>
      </c>
      <c r="G322" s="3" t="s">
        <v>5053</v>
      </c>
      <c r="H322" s="3" t="s">
        <v>5088</v>
      </c>
      <c r="I322" s="3" t="s">
        <v>5089</v>
      </c>
      <c r="J322" s="44" t="str">
        <f>HYPERLINK("https://www.centcols.org/util/geo/visuGen.php?code=FR-26-0800d","FR-26-0800d")</f>
        <v>FR-26-0800d</v>
      </c>
      <c r="K322" s="3" t="s">
        <v>5090</v>
      </c>
      <c r="L322" s="1" t="s">
        <v>5091</v>
      </c>
      <c r="M322" s="8">
        <v>0</v>
      </c>
      <c r="N322" s="8">
        <v>0</v>
      </c>
      <c r="O322" s="4"/>
      <c r="P322" s="3"/>
      <c r="Q322" s="3" t="s">
        <v>5092</v>
      </c>
      <c r="R322" s="3" t="s">
        <v>5093</v>
      </c>
      <c r="S322" s="25">
        <v>5.296532071050281</v>
      </c>
      <c r="T322" s="25">
        <v>44.559932787179065</v>
      </c>
      <c r="U322" s="2">
        <v>31</v>
      </c>
      <c r="V322" s="3">
        <v>682383</v>
      </c>
      <c r="W322" s="3">
        <v>4936632</v>
      </c>
      <c r="X322" s="25">
        <v>3.2887329255745934</v>
      </c>
      <c r="Y322" s="25">
        <v>49.51104165170056</v>
      </c>
      <c r="Z322" s="6"/>
      <c r="AA322" s="7" t="s">
        <v>5176</v>
      </c>
      <c r="AB322" s="8" t="s">
        <v>5711</v>
      </c>
      <c r="AC322" s="9"/>
      <c r="AD322" s="10">
        <v>1</v>
      </c>
      <c r="AE322" s="31" t="s">
        <v>5094</v>
      </c>
    </row>
    <row r="323" spans="1:31" ht="12.75">
      <c r="A323" s="4" t="s">
        <v>5095</v>
      </c>
      <c r="B323" s="1" t="s">
        <v>6094</v>
      </c>
      <c r="C323" s="1" t="s">
        <v>2499</v>
      </c>
      <c r="D323" s="1" t="s">
        <v>2500</v>
      </c>
      <c r="E323" s="2">
        <v>800</v>
      </c>
      <c r="F323" s="2">
        <v>60</v>
      </c>
      <c r="G323" s="3" t="s">
        <v>2501</v>
      </c>
      <c r="H323" s="3" t="s">
        <v>2502</v>
      </c>
      <c r="I323" s="3" t="s">
        <v>2503</v>
      </c>
      <c r="J323" s="44" t="str">
        <f>HYPERLINK("https://www.centcols.org/util/geo/visuGen.php?code=FR-26-0800e","FR-26-0800e")</f>
        <v>FR-26-0800e</v>
      </c>
      <c r="K323" s="3"/>
      <c r="L323" s="1" t="s">
        <v>5138</v>
      </c>
      <c r="M323" s="8">
        <v>35</v>
      </c>
      <c r="N323" s="8">
        <v>10</v>
      </c>
      <c r="O323" s="4"/>
      <c r="P323" s="3"/>
      <c r="Q323" s="3" t="s">
        <v>2504</v>
      </c>
      <c r="R323" s="3" t="s">
        <v>2505</v>
      </c>
      <c r="S323" s="25">
        <v>5.405782270369478</v>
      </c>
      <c r="T323" s="25">
        <v>44.21023516671816</v>
      </c>
      <c r="U323" s="2">
        <v>31</v>
      </c>
      <c r="V323" s="3">
        <v>692201</v>
      </c>
      <c r="W323" s="3">
        <v>4898038</v>
      </c>
      <c r="X323" s="25">
        <v>3.4101118095741323</v>
      </c>
      <c r="Y323" s="25">
        <v>49.122479814731506</v>
      </c>
      <c r="Z323" s="6"/>
      <c r="AA323" s="7" t="s">
        <v>5138</v>
      </c>
      <c r="AB323" s="8" t="s">
        <v>5571</v>
      </c>
      <c r="AC323" s="9"/>
      <c r="AD323" s="10">
        <v>1</v>
      </c>
      <c r="AE323" s="31" t="s">
        <v>2506</v>
      </c>
    </row>
    <row r="324" spans="1:31" ht="12.75">
      <c r="A324" s="4" t="s">
        <v>2507</v>
      </c>
      <c r="B324" s="1" t="s">
        <v>2508</v>
      </c>
      <c r="C324" s="1" t="s">
        <v>5086</v>
      </c>
      <c r="D324" s="1" t="s">
        <v>2509</v>
      </c>
      <c r="E324" s="2">
        <v>862</v>
      </c>
      <c r="F324" s="2">
        <v>60</v>
      </c>
      <c r="G324" s="3" t="s">
        <v>2501</v>
      </c>
      <c r="H324" s="3" t="s">
        <v>2510</v>
      </c>
      <c r="I324" s="3" t="s">
        <v>2511</v>
      </c>
      <c r="J324" s="44" t="str">
        <f>HYPERLINK("https://www.centcols.org/util/geo/visuGen.php?code=FR-26-0820","FR-26-0820")</f>
        <v>FR-26-0820</v>
      </c>
      <c r="K324" s="3"/>
      <c r="L324" s="1"/>
      <c r="M324" s="8">
        <v>99</v>
      </c>
      <c r="N324" s="8">
        <v>0</v>
      </c>
      <c r="O324" s="4"/>
      <c r="P324" s="3"/>
      <c r="Q324" s="3" t="s">
        <v>2512</v>
      </c>
      <c r="R324" s="3" t="s">
        <v>2513</v>
      </c>
      <c r="S324" s="25">
        <v>5.532869438816876</v>
      </c>
      <c r="T324" s="25">
        <v>44.21555619640389</v>
      </c>
      <c r="U324" s="2">
        <v>31</v>
      </c>
      <c r="V324" s="3">
        <v>702336</v>
      </c>
      <c r="W324" s="3">
        <v>4898934</v>
      </c>
      <c r="X324" s="25">
        <v>3.5513165478282476</v>
      </c>
      <c r="Y324" s="25">
        <v>49.12839075426124</v>
      </c>
      <c r="Z324" s="6"/>
      <c r="AA324" s="7" t="s">
        <v>5176</v>
      </c>
      <c r="AB324" s="8" t="s">
        <v>5711</v>
      </c>
      <c r="AC324" s="9"/>
      <c r="AD324" s="10">
        <v>1</v>
      </c>
      <c r="AE324" s="31" t="s">
        <v>2514</v>
      </c>
    </row>
    <row r="325" spans="1:31" ht="12.75">
      <c r="A325" s="4" t="s">
        <v>2515</v>
      </c>
      <c r="B325" s="1" t="s">
        <v>2516</v>
      </c>
      <c r="C325" s="1" t="s">
        <v>2517</v>
      </c>
      <c r="D325" s="1" t="s">
        <v>2518</v>
      </c>
      <c r="E325" s="2">
        <v>830</v>
      </c>
      <c r="F325" s="2">
        <v>52</v>
      </c>
      <c r="G325" s="3" t="s">
        <v>2519</v>
      </c>
      <c r="H325" s="3" t="s">
        <v>2520</v>
      </c>
      <c r="I325" s="3" t="s">
        <v>2521</v>
      </c>
      <c r="J325" s="44" t="str">
        <f>HYPERLINK("https://www.centcols.org/util/geo/visuGen.php?code=FR-26-0830a","FR-26-0830a")</f>
        <v>FR-26-0830a</v>
      </c>
      <c r="K325" s="3"/>
      <c r="L325" s="1" t="s">
        <v>5138</v>
      </c>
      <c r="M325" s="8">
        <v>35</v>
      </c>
      <c r="N325" s="8">
        <v>10</v>
      </c>
      <c r="O325" s="4"/>
      <c r="P325" s="3"/>
      <c r="Q325" s="3" t="s">
        <v>2522</v>
      </c>
      <c r="R325" s="3" t="s">
        <v>2523</v>
      </c>
      <c r="S325" s="25">
        <v>5.432770725915759</v>
      </c>
      <c r="T325" s="25">
        <v>44.95004842276407</v>
      </c>
      <c r="U325" s="2">
        <v>31</v>
      </c>
      <c r="V325" s="3">
        <v>691906</v>
      </c>
      <c r="W325" s="3">
        <v>4980281</v>
      </c>
      <c r="X325" s="25">
        <v>3.4401082815507853</v>
      </c>
      <c r="Y325" s="25">
        <v>49.94451194190735</v>
      </c>
      <c r="Z325" s="6"/>
      <c r="AA325" s="7" t="s">
        <v>5138</v>
      </c>
      <c r="AB325" s="8" t="s">
        <v>5571</v>
      </c>
      <c r="AC325" s="9"/>
      <c r="AD325" s="10">
        <v>1</v>
      </c>
      <c r="AE325" s="31" t="s">
        <v>6701</v>
      </c>
    </row>
    <row r="326" spans="1:31" ht="12.75">
      <c r="A326" s="50" t="s">
        <v>2524</v>
      </c>
      <c r="B326" s="50" t="s">
        <v>5981</v>
      </c>
      <c r="C326" s="50" t="s">
        <v>2525</v>
      </c>
      <c r="D326" s="50" t="s">
        <v>2526</v>
      </c>
      <c r="E326" s="24">
        <v>842</v>
      </c>
      <c r="F326" s="24">
        <v>52</v>
      </c>
      <c r="G326" s="24" t="s">
        <v>5062</v>
      </c>
      <c r="H326" s="24" t="s">
        <v>2527</v>
      </c>
      <c r="I326" s="24" t="s">
        <v>2528</v>
      </c>
      <c r="J326" s="81" t="str">
        <f>HYPERLINK("https://www.centcols.org/util/geo/visuGen.php?code=FR-26-0842","FR-26-0842")</f>
        <v>FR-26-0842</v>
      </c>
      <c r="K326" s="24" t="s">
        <v>2529</v>
      </c>
      <c r="L326" s="50" t="s">
        <v>2530</v>
      </c>
      <c r="M326" s="24">
        <v>0</v>
      </c>
      <c r="N326" s="24">
        <v>0</v>
      </c>
      <c r="O326" s="51"/>
      <c r="P326" s="51"/>
      <c r="Q326" s="24" t="s">
        <v>2531</v>
      </c>
      <c r="R326" s="24" t="s">
        <v>2532</v>
      </c>
      <c r="S326" s="25">
        <v>5.10811</v>
      </c>
      <c r="T326" s="25">
        <v>44.82752</v>
      </c>
      <c r="U326" s="24">
        <v>31</v>
      </c>
      <c r="V326" s="3">
        <v>666649</v>
      </c>
      <c r="W326" s="3">
        <v>4965952</v>
      </c>
      <c r="X326" s="25">
        <v>3.07939</v>
      </c>
      <c r="Y326" s="25">
        <v>49.80837</v>
      </c>
      <c r="Z326" s="24"/>
      <c r="AA326" s="11" t="s">
        <v>5138</v>
      </c>
      <c r="AB326" s="52">
        <v>2020</v>
      </c>
      <c r="AC326" s="53"/>
      <c r="AD326" s="53"/>
      <c r="AE326" s="23" t="s">
        <v>7030</v>
      </c>
    </row>
    <row r="327" spans="1:31" ht="12.75">
      <c r="A327" s="4" t="s">
        <v>2533</v>
      </c>
      <c r="B327" s="1" t="s">
        <v>5991</v>
      </c>
      <c r="C327" s="1" t="s">
        <v>2534</v>
      </c>
      <c r="D327" s="1" t="s">
        <v>2535</v>
      </c>
      <c r="E327" s="2">
        <v>845</v>
      </c>
      <c r="F327" s="2">
        <v>60</v>
      </c>
      <c r="G327" s="3" t="s">
        <v>2501</v>
      </c>
      <c r="H327" s="3" t="s">
        <v>2536</v>
      </c>
      <c r="I327" s="3" t="s">
        <v>2537</v>
      </c>
      <c r="J327" s="44" t="str">
        <f>HYPERLINK("https://www.centcols.org/util/geo/visuGen.php?code=FR-26-0845","FR-26-0845")</f>
        <v>FR-26-0845</v>
      </c>
      <c r="K327" s="3"/>
      <c r="L327" s="1"/>
      <c r="M327" s="8">
        <v>99</v>
      </c>
      <c r="N327" s="8">
        <v>20</v>
      </c>
      <c r="O327" s="4"/>
      <c r="P327" s="3"/>
      <c r="Q327" s="3" t="s">
        <v>2538</v>
      </c>
      <c r="R327" s="3" t="s">
        <v>2539</v>
      </c>
      <c r="S327" s="25">
        <v>5.51510661337814</v>
      </c>
      <c r="T327" s="25">
        <v>44.22581968290242</v>
      </c>
      <c r="U327" s="2">
        <v>31</v>
      </c>
      <c r="V327" s="3">
        <v>700882</v>
      </c>
      <c r="W327" s="3">
        <v>4900031</v>
      </c>
      <c r="X327" s="25">
        <v>3.531580788299709</v>
      </c>
      <c r="Y327" s="25">
        <v>49.13979515322826</v>
      </c>
      <c r="Z327" s="6"/>
      <c r="AA327" s="7" t="s">
        <v>5176</v>
      </c>
      <c r="AB327" s="8" t="s">
        <v>6136</v>
      </c>
      <c r="AC327" s="9"/>
      <c r="AD327" s="10">
        <v>1</v>
      </c>
      <c r="AE327" s="31" t="s">
        <v>2540</v>
      </c>
    </row>
    <row r="328" spans="1:31" ht="12.75">
      <c r="A328" s="4" t="s">
        <v>2541</v>
      </c>
      <c r="B328" s="1" t="s">
        <v>2542</v>
      </c>
      <c r="C328" s="1" t="s">
        <v>2543</v>
      </c>
      <c r="D328" s="1" t="s">
        <v>2544</v>
      </c>
      <c r="E328" s="2">
        <v>871</v>
      </c>
      <c r="F328" s="2">
        <v>60</v>
      </c>
      <c r="G328" s="3" t="s">
        <v>5053</v>
      </c>
      <c r="H328" s="3" t="s">
        <v>2545</v>
      </c>
      <c r="I328" s="3" t="s">
        <v>2546</v>
      </c>
      <c r="J328" s="44" t="str">
        <f>HYPERLINK("https://www.centcols.org/util/geo/visuGen.php?code=FR-26-0871","FR-26-0871")</f>
        <v>FR-26-0871</v>
      </c>
      <c r="K328" s="3"/>
      <c r="L328" s="1" t="s">
        <v>5257</v>
      </c>
      <c r="M328" s="8">
        <v>1</v>
      </c>
      <c r="N328" s="8">
        <v>10</v>
      </c>
      <c r="O328" s="4"/>
      <c r="P328" s="3"/>
      <c r="Q328" s="3" t="s">
        <v>2547</v>
      </c>
      <c r="R328" s="3" t="s">
        <v>2548</v>
      </c>
      <c r="S328" s="25">
        <v>5.303917</v>
      </c>
      <c r="T328" s="25">
        <v>44.465978</v>
      </c>
      <c r="U328" s="2">
        <v>31</v>
      </c>
      <c r="V328" s="3">
        <v>683264</v>
      </c>
      <c r="W328" s="3">
        <v>4926212</v>
      </c>
      <c r="X328" s="25">
        <v>3.296937</v>
      </c>
      <c r="Y328" s="25">
        <v>49.406646</v>
      </c>
      <c r="Z328" s="6"/>
      <c r="AA328" s="7" t="s">
        <v>5176</v>
      </c>
      <c r="AB328" s="8" t="s">
        <v>5711</v>
      </c>
      <c r="AC328" s="9"/>
      <c r="AD328" s="10">
        <v>1</v>
      </c>
      <c r="AE328" s="31" t="s">
        <v>2549</v>
      </c>
    </row>
    <row r="329" spans="1:31" ht="12.75">
      <c r="A329" s="4" t="s">
        <v>2550</v>
      </c>
      <c r="B329" s="1" t="s">
        <v>5656</v>
      </c>
      <c r="C329" s="1" t="s">
        <v>2551</v>
      </c>
      <c r="D329" s="1" t="s">
        <v>2552</v>
      </c>
      <c r="E329" s="2">
        <v>880</v>
      </c>
      <c r="F329" s="2">
        <v>52</v>
      </c>
      <c r="G329" s="3" t="s">
        <v>4940</v>
      </c>
      <c r="H329" s="3" t="s">
        <v>2553</v>
      </c>
      <c r="I329" s="3" t="s">
        <v>2554</v>
      </c>
      <c r="J329" s="44" t="str">
        <f>HYPERLINK("https://www.centcols.org/util/geo/visuGen.php?code=FR-26-0880","FR-26-0880")</f>
        <v>FR-26-0880</v>
      </c>
      <c r="K329" s="3"/>
      <c r="L329" s="1" t="s">
        <v>5138</v>
      </c>
      <c r="M329" s="8">
        <v>35</v>
      </c>
      <c r="N329" s="8">
        <v>10</v>
      </c>
      <c r="O329" s="4"/>
      <c r="P329" s="3"/>
      <c r="Q329" s="3" t="s">
        <v>2555</v>
      </c>
      <c r="R329" s="3" t="s">
        <v>2556</v>
      </c>
      <c r="S329" s="25">
        <v>5.37027541609131</v>
      </c>
      <c r="T329" s="25">
        <v>44.69270082086591</v>
      </c>
      <c r="U329" s="2">
        <v>31</v>
      </c>
      <c r="V329" s="3">
        <v>687810</v>
      </c>
      <c r="W329" s="3">
        <v>4951547</v>
      </c>
      <c r="X329" s="25">
        <v>3.370669150665222</v>
      </c>
      <c r="Y329" s="25">
        <v>49.65856374550421</v>
      </c>
      <c r="Z329" s="6"/>
      <c r="AA329" s="7" t="s">
        <v>5176</v>
      </c>
      <c r="AB329" s="8" t="s">
        <v>2557</v>
      </c>
      <c r="AC329" s="9"/>
      <c r="AD329" s="10">
        <v>1</v>
      </c>
      <c r="AE329" s="31" t="s">
        <v>2558</v>
      </c>
    </row>
    <row r="330" spans="1:31" ht="12.75">
      <c r="A330" s="4" t="s">
        <v>2559</v>
      </c>
      <c r="B330" s="1" t="s">
        <v>5574</v>
      </c>
      <c r="C330" s="1" t="s">
        <v>2560</v>
      </c>
      <c r="D330" s="1" t="s">
        <v>2561</v>
      </c>
      <c r="E330" s="2">
        <v>855</v>
      </c>
      <c r="F330" s="2">
        <v>52</v>
      </c>
      <c r="G330" s="3" t="s">
        <v>5062</v>
      </c>
      <c r="H330" s="3" t="s">
        <v>2562</v>
      </c>
      <c r="I330" s="3" t="s">
        <v>2563</v>
      </c>
      <c r="J330" s="44" t="str">
        <f>HYPERLINK("https://www.centcols.org/util/geo/visuGen.php?code=FR-26-0935c","FR-26-0935c")</f>
        <v>FR-26-0935c</v>
      </c>
      <c r="K330" s="3"/>
      <c r="L330" s="1" t="s">
        <v>5176</v>
      </c>
      <c r="M330" s="8">
        <v>99</v>
      </c>
      <c r="N330" s="8">
        <v>15</v>
      </c>
      <c r="O330" s="4"/>
      <c r="P330" s="3"/>
      <c r="Q330" s="3" t="s">
        <v>2564</v>
      </c>
      <c r="R330" s="3" t="s">
        <v>2565</v>
      </c>
      <c r="S330" s="25">
        <v>5.109096806072671</v>
      </c>
      <c r="T330" s="25">
        <v>44.85328458784466</v>
      </c>
      <c r="U330" s="2">
        <v>31</v>
      </c>
      <c r="V330" s="3">
        <v>666653</v>
      </c>
      <c r="W330" s="3">
        <v>4968816</v>
      </c>
      <c r="X330" s="25">
        <v>3.0804819916915522</v>
      </c>
      <c r="Y330" s="25">
        <v>49.836996044838955</v>
      </c>
      <c r="Z330" s="6"/>
      <c r="AA330" s="7" t="s">
        <v>5176</v>
      </c>
      <c r="AB330" s="8" t="s">
        <v>5911</v>
      </c>
      <c r="AC330" s="9"/>
      <c r="AD330" s="10">
        <v>1</v>
      </c>
      <c r="AE330" s="31" t="s">
        <v>2566</v>
      </c>
    </row>
    <row r="331" spans="1:31" ht="12.75">
      <c r="A331" s="4" t="s">
        <v>2567</v>
      </c>
      <c r="B331" s="1" t="s">
        <v>5741</v>
      </c>
      <c r="C331" s="1" t="s">
        <v>2568</v>
      </c>
      <c r="D331" s="1" t="s">
        <v>2569</v>
      </c>
      <c r="E331" s="2">
        <v>941</v>
      </c>
      <c r="F331" s="2">
        <v>52</v>
      </c>
      <c r="G331" s="3" t="s">
        <v>5062</v>
      </c>
      <c r="H331" s="3" t="s">
        <v>2570</v>
      </c>
      <c r="I331" s="3" t="s">
        <v>2571</v>
      </c>
      <c r="J331" s="44" t="str">
        <f>HYPERLINK("https://www.centcols.org/util/geo/visuGen.php?code=FR-26-0941","FR-26-0941")</f>
        <v>FR-26-0941</v>
      </c>
      <c r="K331" s="3" t="s">
        <v>2572</v>
      </c>
      <c r="L331" s="1" t="s">
        <v>5157</v>
      </c>
      <c r="M331" s="8">
        <v>0</v>
      </c>
      <c r="N331" s="8">
        <v>0</v>
      </c>
      <c r="O331" s="4"/>
      <c r="P331" s="3"/>
      <c r="Q331" s="3" t="s">
        <v>2573</v>
      </c>
      <c r="R331" s="3" t="s">
        <v>2574</v>
      </c>
      <c r="S331" s="25">
        <v>5.13965579910432</v>
      </c>
      <c r="T331" s="25">
        <v>44.873092056492</v>
      </c>
      <c r="U331" s="2">
        <v>31</v>
      </c>
      <c r="V331" s="3">
        <v>669010</v>
      </c>
      <c r="W331" s="3">
        <v>4971080</v>
      </c>
      <c r="X331" s="25">
        <v>3.1144358984006666</v>
      </c>
      <c r="Y331" s="25">
        <v>49.859</v>
      </c>
      <c r="Z331" s="6"/>
      <c r="AA331" s="7" t="s">
        <v>5176</v>
      </c>
      <c r="AB331" s="8" t="s">
        <v>5802</v>
      </c>
      <c r="AC331" s="9"/>
      <c r="AD331" s="10">
        <v>1</v>
      </c>
      <c r="AE331" s="31" t="s">
        <v>2575</v>
      </c>
    </row>
    <row r="332" spans="1:31" ht="12.75">
      <c r="A332" s="4" t="s">
        <v>2576</v>
      </c>
      <c r="B332" s="1" t="s">
        <v>5656</v>
      </c>
      <c r="C332" s="1" t="s">
        <v>2577</v>
      </c>
      <c r="D332" s="1" t="s">
        <v>2578</v>
      </c>
      <c r="E332" s="2">
        <v>967</v>
      </c>
      <c r="F332" s="2">
        <v>52</v>
      </c>
      <c r="G332" s="3" t="s">
        <v>2519</v>
      </c>
      <c r="H332" s="3" t="s">
        <v>2579</v>
      </c>
      <c r="I332" s="3" t="s">
        <v>2580</v>
      </c>
      <c r="J332" s="44" t="str">
        <f>HYPERLINK("https://www.centcols.org/util/geo/visuGen.php?code=FR-26-0967","FR-26-0967")</f>
        <v>FR-26-0967</v>
      </c>
      <c r="K332" s="3" t="s">
        <v>2581</v>
      </c>
      <c r="L332" s="1" t="s">
        <v>3819</v>
      </c>
      <c r="M332" s="8">
        <v>0</v>
      </c>
      <c r="N332" s="8">
        <v>0</v>
      </c>
      <c r="O332" s="4"/>
      <c r="P332" s="3"/>
      <c r="Q332" s="3" t="s">
        <v>2582</v>
      </c>
      <c r="R332" s="3" t="s">
        <v>2583</v>
      </c>
      <c r="S332" s="25">
        <v>5.4412917098039815</v>
      </c>
      <c r="T332" s="25">
        <v>44.92660536420889</v>
      </c>
      <c r="U332" s="2">
        <v>31</v>
      </c>
      <c r="V332" s="3">
        <v>692657</v>
      </c>
      <c r="W332" s="3">
        <v>4977697</v>
      </c>
      <c r="X332" s="25">
        <v>3.449575423225206</v>
      </c>
      <c r="Y332" s="25">
        <v>49.91846349092051</v>
      </c>
      <c r="Z332" s="6"/>
      <c r="AA332" s="7" t="s">
        <v>5138</v>
      </c>
      <c r="AB332" s="8">
        <v>2018</v>
      </c>
      <c r="AC332" s="57">
        <v>43199</v>
      </c>
      <c r="AD332" s="10"/>
      <c r="AE332" s="31" t="s">
        <v>6693</v>
      </c>
    </row>
    <row r="333" spans="1:31" ht="12.75">
      <c r="A333" s="4" t="s">
        <v>2584</v>
      </c>
      <c r="B333" s="1" t="s">
        <v>5262</v>
      </c>
      <c r="C333" s="1" t="s">
        <v>5827</v>
      </c>
      <c r="D333" s="1" t="s">
        <v>5827</v>
      </c>
      <c r="E333" s="2">
        <v>970</v>
      </c>
      <c r="F333" s="2">
        <v>52</v>
      </c>
      <c r="G333" s="3" t="s">
        <v>5029</v>
      </c>
      <c r="H333" s="3" t="s">
        <v>2585</v>
      </c>
      <c r="I333" s="3" t="s">
        <v>2586</v>
      </c>
      <c r="J333" s="44" t="str">
        <f>HYPERLINK("https://www.centcols.org/util/geo/visuGen.php?code=FR-26-0970b","FR-26-0970b")</f>
        <v>FR-26-0970b</v>
      </c>
      <c r="K333" s="3"/>
      <c r="L333" s="1" t="s">
        <v>2587</v>
      </c>
      <c r="M333" s="8">
        <v>40</v>
      </c>
      <c r="N333" s="8">
        <v>15</v>
      </c>
      <c r="O333" s="4"/>
      <c r="P333" s="3"/>
      <c r="Q333" s="3" t="s">
        <v>2588</v>
      </c>
      <c r="R333" s="3" t="s">
        <v>2589</v>
      </c>
      <c r="S333" s="25">
        <v>5.359634210779995</v>
      </c>
      <c r="T333" s="25">
        <v>44.998191024830305</v>
      </c>
      <c r="U333" s="2">
        <v>31</v>
      </c>
      <c r="V333" s="3">
        <v>685981</v>
      </c>
      <c r="W333" s="3">
        <v>4985458</v>
      </c>
      <c r="X333" s="25">
        <v>3.3588483727625835</v>
      </c>
      <c r="Y333" s="25">
        <v>49.998</v>
      </c>
      <c r="Z333" s="6"/>
      <c r="AA333" s="7" t="s">
        <v>5176</v>
      </c>
      <c r="AB333" s="8" t="s">
        <v>5802</v>
      </c>
      <c r="AC333" s="9"/>
      <c r="AD333" s="10">
        <v>1</v>
      </c>
      <c r="AE333" s="31" t="s">
        <v>2590</v>
      </c>
    </row>
    <row r="334" spans="1:31" ht="12.75">
      <c r="A334" s="4" t="s">
        <v>2591</v>
      </c>
      <c r="B334" s="1" t="s">
        <v>5731</v>
      </c>
      <c r="C334" s="1" t="s">
        <v>2592</v>
      </c>
      <c r="D334" s="1" t="s">
        <v>2593</v>
      </c>
      <c r="E334" s="2">
        <v>985</v>
      </c>
      <c r="F334" s="2">
        <v>60</v>
      </c>
      <c r="G334" s="3" t="s">
        <v>2594</v>
      </c>
      <c r="H334" s="3" t="s">
        <v>2595</v>
      </c>
      <c r="I334" s="3" t="s">
        <v>2596</v>
      </c>
      <c r="J334" s="44" t="str">
        <f>HYPERLINK("https://www.centcols.org/util/geo/visuGen.php?code=FR-26-0985b","FR-26-0985b")</f>
        <v>FR-26-0985b</v>
      </c>
      <c r="K334" s="3"/>
      <c r="L334" s="1"/>
      <c r="M334" s="8">
        <v>99</v>
      </c>
      <c r="N334" s="8">
        <v>0</v>
      </c>
      <c r="O334" s="4"/>
      <c r="P334" s="3"/>
      <c r="Q334" s="3" t="s">
        <v>2597</v>
      </c>
      <c r="R334" s="3" t="s">
        <v>2598</v>
      </c>
      <c r="S334" s="25">
        <v>5.415571964733129</v>
      </c>
      <c r="T334" s="25">
        <v>44.51808132462875</v>
      </c>
      <c r="U334" s="2">
        <v>31</v>
      </c>
      <c r="V334" s="3">
        <v>691974</v>
      </c>
      <c r="W334" s="3">
        <v>4932256</v>
      </c>
      <c r="X334" s="25">
        <v>3.420995265156087</v>
      </c>
      <c r="Y334" s="25">
        <v>49.46453814497925</v>
      </c>
      <c r="Z334" s="6"/>
      <c r="AA334" s="7" t="s">
        <v>5176</v>
      </c>
      <c r="AB334" s="8" t="s">
        <v>6728</v>
      </c>
      <c r="AC334" s="9"/>
      <c r="AD334" s="10">
        <v>1</v>
      </c>
      <c r="AE334" s="31" t="s">
        <v>5304</v>
      </c>
    </row>
    <row r="335" spans="1:31" ht="12.75">
      <c r="A335" s="4" t="s">
        <v>5305</v>
      </c>
      <c r="B335" s="1" t="s">
        <v>5262</v>
      </c>
      <c r="C335" s="1" t="s">
        <v>5806</v>
      </c>
      <c r="D335" s="1" t="s">
        <v>5806</v>
      </c>
      <c r="E335" s="2">
        <v>1015</v>
      </c>
      <c r="F335" s="2">
        <v>60</v>
      </c>
      <c r="G335" s="3" t="s">
        <v>5807</v>
      </c>
      <c r="H335" s="3" t="s">
        <v>5306</v>
      </c>
      <c r="I335" s="3" t="s">
        <v>5307</v>
      </c>
      <c r="J335" s="44" t="str">
        <f>HYPERLINK("https://www.centcols.org/util/geo/visuGen.php?code=FR-26-1000a","FR-26-1000a")</f>
        <v>FR-26-1000a</v>
      </c>
      <c r="K335" s="3"/>
      <c r="L335" s="1"/>
      <c r="M335" s="8">
        <v>99</v>
      </c>
      <c r="N335" s="8">
        <v>0</v>
      </c>
      <c r="O335" s="4"/>
      <c r="P335" s="3"/>
      <c r="Q335" s="3" t="s">
        <v>5308</v>
      </c>
      <c r="R335" s="3" t="s">
        <v>5309</v>
      </c>
      <c r="S335" s="25">
        <v>5.599423301243794</v>
      </c>
      <c r="T335" s="25">
        <v>44.52681547291323</v>
      </c>
      <c r="U335" s="2">
        <v>31</v>
      </c>
      <c r="V335" s="3">
        <v>706555</v>
      </c>
      <c r="W335" s="3">
        <v>4933675</v>
      </c>
      <c r="X335" s="25">
        <v>3.6252682330402277</v>
      </c>
      <c r="Y335" s="25">
        <v>49.47424117302921</v>
      </c>
      <c r="Z335" s="6"/>
      <c r="AA335" s="7" t="s">
        <v>5176</v>
      </c>
      <c r="AB335" s="8" t="s">
        <v>5711</v>
      </c>
      <c r="AC335" s="9"/>
      <c r="AD335" s="10">
        <v>1</v>
      </c>
      <c r="AE335" s="31" t="s">
        <v>5310</v>
      </c>
    </row>
    <row r="336" spans="1:31" ht="12.75">
      <c r="A336" s="4" t="s">
        <v>5311</v>
      </c>
      <c r="B336" s="1" t="s">
        <v>5815</v>
      </c>
      <c r="C336" s="1" t="s">
        <v>5312</v>
      </c>
      <c r="D336" s="1" t="s">
        <v>5313</v>
      </c>
      <c r="E336" s="2">
        <v>1005</v>
      </c>
      <c r="F336" s="2">
        <v>60</v>
      </c>
      <c r="G336" s="3" t="s">
        <v>2501</v>
      </c>
      <c r="H336" s="3" t="s">
        <v>5314</v>
      </c>
      <c r="I336" s="3" t="s">
        <v>5315</v>
      </c>
      <c r="J336" s="44" t="str">
        <f>HYPERLINK("https://www.centcols.org/util/geo/visuGen.php?code=FR-26-1005","FR-26-1005")</f>
        <v>FR-26-1005</v>
      </c>
      <c r="K336" s="3" t="s">
        <v>5316</v>
      </c>
      <c r="L336" s="1" t="s">
        <v>5157</v>
      </c>
      <c r="M336" s="8">
        <v>0</v>
      </c>
      <c r="N336" s="8">
        <v>0</v>
      </c>
      <c r="O336" s="4"/>
      <c r="P336" s="3"/>
      <c r="Q336" s="3" t="s">
        <v>5317</v>
      </c>
      <c r="R336" s="3" t="s">
        <v>5318</v>
      </c>
      <c r="S336" s="25">
        <v>5.507227</v>
      </c>
      <c r="T336" s="25">
        <v>44.1269</v>
      </c>
      <c r="U336" s="2">
        <v>31</v>
      </c>
      <c r="V336" s="3">
        <v>700588</v>
      </c>
      <c r="W336" s="3">
        <v>4889024</v>
      </c>
      <c r="X336" s="25">
        <v>3.522823</v>
      </c>
      <c r="Y336" s="25">
        <v>49.029881</v>
      </c>
      <c r="Z336" s="6"/>
      <c r="AA336" s="7" t="s">
        <v>5176</v>
      </c>
      <c r="AB336" s="8">
        <v>2016</v>
      </c>
      <c r="AC336" s="9"/>
      <c r="AD336" s="10"/>
      <c r="AE336" s="31" t="s">
        <v>5319</v>
      </c>
    </row>
    <row r="337" spans="1:31" ht="12.75">
      <c r="A337" s="4" t="s">
        <v>5320</v>
      </c>
      <c r="B337" s="1" t="s">
        <v>5731</v>
      </c>
      <c r="C337" s="1" t="s">
        <v>5321</v>
      </c>
      <c r="D337" s="1" t="s">
        <v>5322</v>
      </c>
      <c r="E337" s="2">
        <v>1021</v>
      </c>
      <c r="F337" s="2">
        <v>60</v>
      </c>
      <c r="G337" s="3" t="s">
        <v>5053</v>
      </c>
      <c r="H337" s="3" t="s">
        <v>5323</v>
      </c>
      <c r="I337" s="3" t="s">
        <v>5324</v>
      </c>
      <c r="J337" s="44" t="str">
        <f>HYPERLINK("https://www.centcols.org/util/geo/visuGen.php?code=FR-26-1021","FR-26-1021")</f>
        <v>FR-26-1021</v>
      </c>
      <c r="K337" s="3"/>
      <c r="L337" s="1"/>
      <c r="M337" s="8">
        <v>99</v>
      </c>
      <c r="N337" s="8">
        <v>20</v>
      </c>
      <c r="O337" s="4"/>
      <c r="P337" s="3"/>
      <c r="Q337" s="3" t="s">
        <v>5325</v>
      </c>
      <c r="R337" s="3" t="s">
        <v>5326</v>
      </c>
      <c r="S337" s="25">
        <v>5.3406409902975716</v>
      </c>
      <c r="T337" s="25">
        <v>44.51010533557966</v>
      </c>
      <c r="U337" s="2">
        <v>31</v>
      </c>
      <c r="V337" s="3">
        <v>686045</v>
      </c>
      <c r="W337" s="3">
        <v>4931196</v>
      </c>
      <c r="X337" s="25">
        <v>3.3377408275190152</v>
      </c>
      <c r="Y337" s="25">
        <v>49.45567646723926</v>
      </c>
      <c r="Z337" s="6"/>
      <c r="AA337" s="7" t="s">
        <v>5176</v>
      </c>
      <c r="AB337" s="8" t="s">
        <v>5711</v>
      </c>
      <c r="AC337" s="9"/>
      <c r="AD337" s="10">
        <v>1</v>
      </c>
      <c r="AE337" s="31" t="s">
        <v>4866</v>
      </c>
    </row>
    <row r="338" spans="1:31" ht="12.75">
      <c r="A338" s="50" t="s">
        <v>5327</v>
      </c>
      <c r="B338" s="62" t="s">
        <v>5128</v>
      </c>
      <c r="C338" s="20" t="s">
        <v>5328</v>
      </c>
      <c r="D338" s="62" t="s">
        <v>5329</v>
      </c>
      <c r="E338" s="19">
        <v>1045</v>
      </c>
      <c r="F338" s="2">
        <v>52</v>
      </c>
      <c r="G338" s="3" t="s">
        <v>5807</v>
      </c>
      <c r="H338" s="3" t="s">
        <v>5330</v>
      </c>
      <c r="I338" s="3" t="s">
        <v>5331</v>
      </c>
      <c r="J338" s="44" t="str">
        <f>HYPERLINK("https://www.centcols.org/util/geo/visuGen.php?code=FR-26-1045a","FR-26-1045a")</f>
        <v>FR-26-1045a</v>
      </c>
      <c r="K338" s="3"/>
      <c r="L338" s="1"/>
      <c r="M338" s="2">
        <v>99</v>
      </c>
      <c r="N338" s="2">
        <v>15</v>
      </c>
      <c r="O338" s="5"/>
      <c r="P338" s="3"/>
      <c r="Q338" s="3" t="s">
        <v>5332</v>
      </c>
      <c r="R338" s="3" t="s">
        <v>5333</v>
      </c>
      <c r="S338" s="25">
        <v>5.59333</v>
      </c>
      <c r="T338" s="25">
        <v>44.62638</v>
      </c>
      <c r="U338" s="22">
        <v>31</v>
      </c>
      <c r="V338" s="3">
        <v>705719</v>
      </c>
      <c r="W338" s="3">
        <v>4944719</v>
      </c>
      <c r="X338" s="25">
        <v>3.618498441761407</v>
      </c>
      <c r="Y338" s="25">
        <v>49.58487138874212</v>
      </c>
      <c r="Z338" s="61"/>
      <c r="AA338" s="54" t="s">
        <v>5138</v>
      </c>
      <c r="AB338" s="54">
        <v>2013</v>
      </c>
      <c r="AC338" s="57"/>
      <c r="AD338" s="54"/>
      <c r="AE338" s="61" t="s">
        <v>5334</v>
      </c>
    </row>
    <row r="339" spans="1:31" ht="12.75">
      <c r="A339" s="4" t="s">
        <v>5335</v>
      </c>
      <c r="B339" s="1" t="s">
        <v>5563</v>
      </c>
      <c r="C339" s="1" t="s">
        <v>4964</v>
      </c>
      <c r="D339" s="1" t="s">
        <v>5336</v>
      </c>
      <c r="E339" s="2">
        <v>1068</v>
      </c>
      <c r="F339" s="2">
        <v>52</v>
      </c>
      <c r="G339" s="3" t="s">
        <v>5062</v>
      </c>
      <c r="H339" s="3" t="s">
        <v>5337</v>
      </c>
      <c r="I339" s="3" t="s">
        <v>5338</v>
      </c>
      <c r="J339" s="44" t="str">
        <f>HYPERLINK("https://www.centcols.org/util/geo/visuGen.php?code=FR-26-1050b","FR-26-1050b")</f>
        <v>FR-26-1050b</v>
      </c>
      <c r="K339" s="3"/>
      <c r="L339" s="1" t="s">
        <v>5746</v>
      </c>
      <c r="M339" s="8">
        <v>99</v>
      </c>
      <c r="N339" s="8">
        <v>20</v>
      </c>
      <c r="O339" s="4"/>
      <c r="P339" s="3"/>
      <c r="Q339" s="3" t="s">
        <v>5339</v>
      </c>
      <c r="R339" s="3" t="s">
        <v>5340</v>
      </c>
      <c r="S339" s="25">
        <v>5.152002</v>
      </c>
      <c r="T339" s="25">
        <v>44.907256</v>
      </c>
      <c r="U339" s="2">
        <v>31</v>
      </c>
      <c r="V339" s="3">
        <v>669884</v>
      </c>
      <c r="W339" s="3">
        <v>4974901</v>
      </c>
      <c r="X339" s="25">
        <v>3.128153</v>
      </c>
      <c r="Y339" s="25">
        <v>49.896964</v>
      </c>
      <c r="Z339" s="6"/>
      <c r="AA339" s="7" t="s">
        <v>5176</v>
      </c>
      <c r="AB339" s="8" t="s">
        <v>5571</v>
      </c>
      <c r="AC339" s="9">
        <v>41228</v>
      </c>
      <c r="AD339" s="10">
        <v>3</v>
      </c>
      <c r="AE339" s="31" t="s">
        <v>5341</v>
      </c>
    </row>
    <row r="340" spans="1:31" ht="12.75">
      <c r="A340" s="18" t="s">
        <v>5342</v>
      </c>
      <c r="B340" s="62" t="s">
        <v>5741</v>
      </c>
      <c r="C340" s="62" t="s">
        <v>5343</v>
      </c>
      <c r="D340" s="62" t="s">
        <v>5344</v>
      </c>
      <c r="E340" s="24">
        <v>1055</v>
      </c>
      <c r="F340" s="24">
        <v>52</v>
      </c>
      <c r="G340" s="24" t="s">
        <v>5062</v>
      </c>
      <c r="H340" s="24" t="s">
        <v>5345</v>
      </c>
      <c r="I340" s="24" t="s">
        <v>5346</v>
      </c>
      <c r="J340" s="44" t="str">
        <f>HYPERLINK("https://www.centcols.org/util/geo/visuGen.php?code=FR-26-1060c","FR-26-1060c")</f>
        <v>FR-26-1060c</v>
      </c>
      <c r="K340" s="19"/>
      <c r="L340" s="62" t="s">
        <v>5347</v>
      </c>
      <c r="M340" s="24">
        <v>3</v>
      </c>
      <c r="N340" s="24">
        <v>15</v>
      </c>
      <c r="O340" s="18"/>
      <c r="P340" s="19"/>
      <c r="Q340" s="24" t="s">
        <v>5348</v>
      </c>
      <c r="R340" s="24" t="s">
        <v>6983</v>
      </c>
      <c r="S340" s="25">
        <v>5.175793</v>
      </c>
      <c r="T340" s="25">
        <v>44.842978</v>
      </c>
      <c r="U340" s="24">
        <v>31</v>
      </c>
      <c r="V340" s="3">
        <v>671954</v>
      </c>
      <c r="W340" s="3">
        <v>4967810</v>
      </c>
      <c r="X340" s="25">
        <v>3.154587</v>
      </c>
      <c r="Y340" s="25">
        <v>49.825543</v>
      </c>
      <c r="Z340" s="18"/>
      <c r="AA340" s="19" t="s">
        <v>5176</v>
      </c>
      <c r="AB340" s="11">
        <v>2019</v>
      </c>
      <c r="AC340" s="60">
        <v>43525</v>
      </c>
      <c r="AD340" s="54"/>
      <c r="AE340" s="61" t="s">
        <v>5349</v>
      </c>
    </row>
    <row r="341" spans="1:31" ht="12.75">
      <c r="A341" s="4" t="s">
        <v>5350</v>
      </c>
      <c r="B341" s="1" t="s">
        <v>5351</v>
      </c>
      <c r="C341" s="1" t="s">
        <v>5352</v>
      </c>
      <c r="D341" s="1" t="s">
        <v>5353</v>
      </c>
      <c r="E341" s="2">
        <v>1081</v>
      </c>
      <c r="F341" s="2">
        <v>60</v>
      </c>
      <c r="G341" s="3" t="s">
        <v>2501</v>
      </c>
      <c r="H341" s="3" t="s">
        <v>5354</v>
      </c>
      <c r="I341" s="3" t="s">
        <v>5355</v>
      </c>
      <c r="J341" s="44" t="str">
        <f>HYPERLINK("https://www.centcols.org/util/geo/visuGen.php?code=FR-26-1075b","FR-26-1075b")</f>
        <v>FR-26-1075b</v>
      </c>
      <c r="K341" s="3"/>
      <c r="L341" s="1"/>
      <c r="M341" s="8">
        <v>99</v>
      </c>
      <c r="N341" s="8">
        <v>20</v>
      </c>
      <c r="O341" s="4"/>
      <c r="P341" s="3"/>
      <c r="Q341" s="3" t="s">
        <v>5356</v>
      </c>
      <c r="R341" s="3" t="s">
        <v>5357</v>
      </c>
      <c r="S341" s="25">
        <v>5.509805274755186</v>
      </c>
      <c r="T341" s="25">
        <v>44.13816225628448</v>
      </c>
      <c r="U341" s="2">
        <v>31</v>
      </c>
      <c r="V341" s="3">
        <v>700756</v>
      </c>
      <c r="W341" s="3">
        <v>4890281</v>
      </c>
      <c r="X341" s="25">
        <v>3.525688244859843</v>
      </c>
      <c r="Y341" s="25">
        <v>49.042395814366316</v>
      </c>
      <c r="Z341" s="6"/>
      <c r="AA341" s="7" t="s">
        <v>5176</v>
      </c>
      <c r="AB341" s="8" t="s">
        <v>5911</v>
      </c>
      <c r="AC341" s="9"/>
      <c r="AD341" s="10">
        <v>1</v>
      </c>
      <c r="AE341" s="31" t="s">
        <v>5358</v>
      </c>
    </row>
    <row r="342" spans="1:31" ht="12.75">
      <c r="A342" s="4" t="s">
        <v>5359</v>
      </c>
      <c r="B342" s="1" t="s">
        <v>5731</v>
      </c>
      <c r="C342" s="1" t="s">
        <v>2592</v>
      </c>
      <c r="D342" s="1" t="s">
        <v>2593</v>
      </c>
      <c r="E342" s="2">
        <v>1082</v>
      </c>
      <c r="F342" s="2">
        <v>60</v>
      </c>
      <c r="G342" s="3" t="s">
        <v>5053</v>
      </c>
      <c r="H342" s="3" t="s">
        <v>5360</v>
      </c>
      <c r="I342" s="3" t="s">
        <v>5361</v>
      </c>
      <c r="J342" s="44" t="str">
        <f>HYPERLINK("https://www.centcols.org/util/geo/visuGen.php?code=FR-26-1082","FR-26-1082")</f>
        <v>FR-26-1082</v>
      </c>
      <c r="K342" s="3"/>
      <c r="L342" s="1" t="s">
        <v>5176</v>
      </c>
      <c r="M342" s="8">
        <v>99</v>
      </c>
      <c r="N342" s="8">
        <v>15</v>
      </c>
      <c r="O342" s="4"/>
      <c r="P342" s="3"/>
      <c r="Q342" s="3" t="s">
        <v>5362</v>
      </c>
      <c r="R342" s="3" t="s">
        <v>5363</v>
      </c>
      <c r="S342" s="25">
        <v>5.39391</v>
      </c>
      <c r="T342" s="25">
        <v>44.51257</v>
      </c>
      <c r="U342" s="2">
        <v>31</v>
      </c>
      <c r="V342" s="3">
        <v>690271</v>
      </c>
      <c r="W342" s="3">
        <v>4931593</v>
      </c>
      <c r="X342" s="25">
        <v>3.396927</v>
      </c>
      <c r="Y342" s="25">
        <v>49.458415</v>
      </c>
      <c r="Z342" s="6"/>
      <c r="AA342" s="7" t="s">
        <v>5176</v>
      </c>
      <c r="AB342" s="8" t="s">
        <v>5711</v>
      </c>
      <c r="AC342" s="9"/>
      <c r="AD342" s="10">
        <v>1</v>
      </c>
      <c r="AE342" s="31" t="s">
        <v>5364</v>
      </c>
    </row>
    <row r="343" spans="1:31" ht="12.75">
      <c r="A343" s="4" t="s">
        <v>5365</v>
      </c>
      <c r="B343" s="1" t="s">
        <v>5574</v>
      </c>
      <c r="C343" s="1" t="s">
        <v>5366</v>
      </c>
      <c r="D343" s="1" t="s">
        <v>5367</v>
      </c>
      <c r="E343" s="2">
        <v>1095</v>
      </c>
      <c r="F343" s="2">
        <v>52</v>
      </c>
      <c r="G343" s="3" t="s">
        <v>4940</v>
      </c>
      <c r="H343" s="3" t="s">
        <v>5368</v>
      </c>
      <c r="I343" s="3" t="s">
        <v>5369</v>
      </c>
      <c r="J343" s="44" t="str">
        <f>HYPERLINK("https://www.centcols.org/util/geo/visuGen.php?code=FR-26-1095b","FR-26-1095b")</f>
        <v>FR-26-1095b</v>
      </c>
      <c r="K343" s="3"/>
      <c r="L343" s="1" t="s">
        <v>5746</v>
      </c>
      <c r="M343" s="8">
        <v>99</v>
      </c>
      <c r="N343" s="8">
        <v>0</v>
      </c>
      <c r="O343" s="4"/>
      <c r="P343" s="3"/>
      <c r="Q343" s="3" t="s">
        <v>5370</v>
      </c>
      <c r="R343" s="3" t="s">
        <v>5371</v>
      </c>
      <c r="S343" s="25">
        <v>5.326597</v>
      </c>
      <c r="T343" s="25">
        <v>44.643383</v>
      </c>
      <c r="U343" s="2">
        <v>31</v>
      </c>
      <c r="V343" s="3">
        <v>684506</v>
      </c>
      <c r="W343" s="3">
        <v>4945969</v>
      </c>
      <c r="X343" s="25">
        <v>3.322138</v>
      </c>
      <c r="Y343" s="25">
        <v>49.603766</v>
      </c>
      <c r="Z343" s="6"/>
      <c r="AA343" s="7" t="s">
        <v>5176</v>
      </c>
      <c r="AB343" s="8" t="s">
        <v>5711</v>
      </c>
      <c r="AC343" s="9"/>
      <c r="AD343" s="10">
        <v>1</v>
      </c>
      <c r="AE343" s="31" t="s">
        <v>5364</v>
      </c>
    </row>
    <row r="344" spans="1:31" ht="12.75">
      <c r="A344" s="4" t="s">
        <v>5372</v>
      </c>
      <c r="B344" s="1" t="s">
        <v>5373</v>
      </c>
      <c r="C344" s="1" t="s">
        <v>5374</v>
      </c>
      <c r="D344" s="1" t="s">
        <v>5375</v>
      </c>
      <c r="E344" s="2">
        <v>1100</v>
      </c>
      <c r="F344" s="2">
        <v>60</v>
      </c>
      <c r="G344" s="3" t="s">
        <v>5376</v>
      </c>
      <c r="H344" s="3" t="s">
        <v>5377</v>
      </c>
      <c r="I344" s="3" t="s">
        <v>5378</v>
      </c>
      <c r="J344" s="44" t="str">
        <f>HYPERLINK("https://www.centcols.org/util/geo/visuGen.php?code=FR-26-1100","FR-26-1100")</f>
        <v>FR-26-1100</v>
      </c>
      <c r="K344" s="3"/>
      <c r="L344" s="1"/>
      <c r="M344" s="8">
        <v>99</v>
      </c>
      <c r="N344" s="8">
        <v>20</v>
      </c>
      <c r="O344" s="4"/>
      <c r="P344" s="3"/>
      <c r="Q344" s="3" t="s">
        <v>5379</v>
      </c>
      <c r="R344" s="3" t="s">
        <v>5380</v>
      </c>
      <c r="S344" s="25">
        <v>5.6396084160604705</v>
      </c>
      <c r="T344" s="25">
        <v>44.188926876074326</v>
      </c>
      <c r="U344" s="2">
        <v>31</v>
      </c>
      <c r="V344" s="3">
        <v>710958</v>
      </c>
      <c r="W344" s="3">
        <v>4896245</v>
      </c>
      <c r="X344" s="25">
        <v>3.6699118301686373</v>
      </c>
      <c r="Y344" s="25">
        <v>49.09880046675588</v>
      </c>
      <c r="Z344" s="6"/>
      <c r="AA344" s="7" t="s">
        <v>5138</v>
      </c>
      <c r="AB344" s="8">
        <v>2002</v>
      </c>
      <c r="AC344" s="9"/>
      <c r="AD344" s="10">
        <v>1</v>
      </c>
      <c r="AE344" s="31" t="s">
        <v>5381</v>
      </c>
    </row>
    <row r="345" spans="1:31" ht="12.75">
      <c r="A345" s="4" t="s">
        <v>5382</v>
      </c>
      <c r="B345" s="1" t="s">
        <v>6094</v>
      </c>
      <c r="C345" s="1" t="s">
        <v>5383</v>
      </c>
      <c r="D345" s="1" t="s">
        <v>5384</v>
      </c>
      <c r="E345" s="2">
        <v>1113</v>
      </c>
      <c r="F345" s="2">
        <v>60</v>
      </c>
      <c r="G345" s="3" t="s">
        <v>2501</v>
      </c>
      <c r="H345" s="3" t="s">
        <v>5385</v>
      </c>
      <c r="I345" s="3" t="s">
        <v>5386</v>
      </c>
      <c r="J345" s="44" t="str">
        <f>HYPERLINK("https://www.centcols.org/util/geo/visuGen.php?code=FR-26-1113a","FR-26-1113a")</f>
        <v>FR-26-1113a</v>
      </c>
      <c r="K345" s="3"/>
      <c r="L345" s="1" t="s">
        <v>5138</v>
      </c>
      <c r="M345" s="8">
        <v>35</v>
      </c>
      <c r="N345" s="8">
        <v>10</v>
      </c>
      <c r="O345" s="4"/>
      <c r="P345" s="3"/>
      <c r="Q345" s="3" t="s">
        <v>5387</v>
      </c>
      <c r="R345" s="3" t="s">
        <v>5388</v>
      </c>
      <c r="S345" s="25">
        <v>5.500341</v>
      </c>
      <c r="T345" s="25">
        <v>44.140253</v>
      </c>
      <c r="U345" s="2">
        <v>31</v>
      </c>
      <c r="V345" s="3">
        <v>699992</v>
      </c>
      <c r="W345" s="3">
        <v>4890491</v>
      </c>
      <c r="X345" s="25">
        <v>3.515172</v>
      </c>
      <c r="Y345" s="25">
        <v>49.044719</v>
      </c>
      <c r="Z345" s="6"/>
      <c r="AA345" s="7" t="s">
        <v>5138</v>
      </c>
      <c r="AB345" s="8">
        <v>2016</v>
      </c>
      <c r="AC345" s="9">
        <v>42593</v>
      </c>
      <c r="AD345" s="10"/>
      <c r="AE345" s="31" t="s">
        <v>6074</v>
      </c>
    </row>
    <row r="346" spans="1:31" ht="12.75">
      <c r="A346" s="4" t="s">
        <v>5389</v>
      </c>
      <c r="B346" s="1" t="s">
        <v>5574</v>
      </c>
      <c r="C346" s="1" t="s">
        <v>5390</v>
      </c>
      <c r="D346" s="1" t="s">
        <v>5391</v>
      </c>
      <c r="E346" s="2">
        <v>1110</v>
      </c>
      <c r="F346" s="2">
        <v>60</v>
      </c>
      <c r="G346" s="3" t="s">
        <v>5392</v>
      </c>
      <c r="H346" s="3" t="s">
        <v>5393</v>
      </c>
      <c r="I346" s="3" t="s">
        <v>5394</v>
      </c>
      <c r="J346" s="44" t="str">
        <f>HYPERLINK("https://www.centcols.org/util/geo/visuGen.php?code=FR-26-1140b","FR-26-1140b")</f>
        <v>FR-26-1140b</v>
      </c>
      <c r="K346" s="3"/>
      <c r="L346" s="1" t="s">
        <v>5395</v>
      </c>
      <c r="M346" s="8">
        <v>3</v>
      </c>
      <c r="N346" s="8">
        <v>15</v>
      </c>
      <c r="O346" s="4"/>
      <c r="P346" s="3"/>
      <c r="Q346" s="3" t="s">
        <v>5396</v>
      </c>
      <c r="R346" s="3" t="s">
        <v>5397</v>
      </c>
      <c r="S346" s="25">
        <v>5.434151266667422</v>
      </c>
      <c r="T346" s="25">
        <v>44.32151111352875</v>
      </c>
      <c r="U346" s="2">
        <v>31</v>
      </c>
      <c r="V346" s="3">
        <v>694100</v>
      </c>
      <c r="W346" s="3">
        <v>4910465</v>
      </c>
      <c r="X346" s="25">
        <v>3.4416350795272734</v>
      </c>
      <c r="Y346" s="25">
        <v>49.24612251896308</v>
      </c>
      <c r="Z346" s="6"/>
      <c r="AA346" s="7" t="s">
        <v>5176</v>
      </c>
      <c r="AB346" s="8" t="s">
        <v>6740</v>
      </c>
      <c r="AC346" s="9"/>
      <c r="AD346" s="10">
        <v>1</v>
      </c>
      <c r="AE346" s="31" t="s">
        <v>5398</v>
      </c>
    </row>
    <row r="347" spans="1:31" ht="12.75">
      <c r="A347" s="4" t="s">
        <v>5399</v>
      </c>
      <c r="B347" s="1" t="s">
        <v>4091</v>
      </c>
      <c r="C347" s="1" t="s">
        <v>5400</v>
      </c>
      <c r="D347" s="1" t="s">
        <v>5401</v>
      </c>
      <c r="E347" s="2">
        <v>1153</v>
      </c>
      <c r="F347" s="2">
        <v>60</v>
      </c>
      <c r="G347" s="3" t="s">
        <v>2501</v>
      </c>
      <c r="H347" s="3" t="s">
        <v>5402</v>
      </c>
      <c r="I347" s="3" t="s">
        <v>5403</v>
      </c>
      <c r="J347" s="44" t="str">
        <f>HYPERLINK("https://www.centcols.org/util/geo/visuGen.php?code=FR-26-1153","FR-26-1153")</f>
        <v>FR-26-1153</v>
      </c>
      <c r="K347" s="3"/>
      <c r="L347" s="1"/>
      <c r="M347" s="8">
        <v>99</v>
      </c>
      <c r="N347" s="8">
        <v>20</v>
      </c>
      <c r="O347" s="4"/>
      <c r="P347" s="3"/>
      <c r="Q347" s="3" t="s">
        <v>5404</v>
      </c>
      <c r="R347" s="3" t="s">
        <v>5405</v>
      </c>
      <c r="S347" s="25">
        <v>5.53013460016391</v>
      </c>
      <c r="T347" s="25">
        <v>44.136967323872675</v>
      </c>
      <c r="U347" s="2">
        <v>31</v>
      </c>
      <c r="V347" s="3">
        <v>702386</v>
      </c>
      <c r="W347" s="3">
        <v>4890199</v>
      </c>
      <c r="X347" s="25">
        <v>3.548275889646397</v>
      </c>
      <c r="Y347" s="25">
        <v>49.041067788018616</v>
      </c>
      <c r="Z347" s="6"/>
      <c r="AA347" s="7" t="s">
        <v>5176</v>
      </c>
      <c r="AB347" s="8" t="s">
        <v>5711</v>
      </c>
      <c r="AC347" s="9"/>
      <c r="AD347" s="10">
        <v>1</v>
      </c>
      <c r="AE347" s="31" t="s">
        <v>2678</v>
      </c>
    </row>
    <row r="348" spans="1:31" ht="12.75">
      <c r="A348" s="18" t="s">
        <v>2679</v>
      </c>
      <c r="B348" s="20" t="s">
        <v>5731</v>
      </c>
      <c r="C348" s="20" t="s">
        <v>4964</v>
      </c>
      <c r="D348" s="20" t="s">
        <v>4965</v>
      </c>
      <c r="E348" s="19">
        <v>1260</v>
      </c>
      <c r="F348" s="14">
        <v>52</v>
      </c>
      <c r="G348" s="19" t="s">
        <v>5021</v>
      </c>
      <c r="H348" s="19" t="s">
        <v>2680</v>
      </c>
      <c r="I348" s="19" t="s">
        <v>2681</v>
      </c>
      <c r="J348" s="44" t="str">
        <f>HYPERLINK("https://www.centcols.org/util/geo/visuGen.php?code=FR-26-1260a","FR-26-1260a")</f>
        <v>FR-26-1260a</v>
      </c>
      <c r="K348" s="19"/>
      <c r="L348" s="20" t="s">
        <v>5176</v>
      </c>
      <c r="M348" s="19">
        <v>99</v>
      </c>
      <c r="N348" s="19">
        <v>15</v>
      </c>
      <c r="O348" s="18"/>
      <c r="P348" s="19"/>
      <c r="Q348" s="19" t="s">
        <v>2682</v>
      </c>
      <c r="R348" s="19" t="s">
        <v>2683</v>
      </c>
      <c r="S348" s="59">
        <v>5.198346</v>
      </c>
      <c r="T348" s="59">
        <v>44.632801</v>
      </c>
      <c r="U348" s="19">
        <v>31</v>
      </c>
      <c r="V348" s="3">
        <v>674367</v>
      </c>
      <c r="W348" s="3">
        <v>4944511</v>
      </c>
      <c r="X348" s="59">
        <v>3.179641</v>
      </c>
      <c r="Y348" s="59">
        <v>49.592009</v>
      </c>
      <c r="Z348" s="18"/>
      <c r="AA348" s="19" t="s">
        <v>5138</v>
      </c>
      <c r="AB348" s="11">
        <v>2018</v>
      </c>
      <c r="AC348" s="12">
        <v>43250</v>
      </c>
      <c r="AD348" s="54"/>
      <c r="AE348" s="23" t="s">
        <v>2684</v>
      </c>
    </row>
    <row r="349" spans="1:31" ht="12.75">
      <c r="A349" s="4" t="s">
        <v>2685</v>
      </c>
      <c r="B349" s="1" t="s">
        <v>5128</v>
      </c>
      <c r="C349" s="1" t="s">
        <v>2686</v>
      </c>
      <c r="D349" s="1" t="s">
        <v>2687</v>
      </c>
      <c r="E349" s="2">
        <v>1285</v>
      </c>
      <c r="F349" s="2">
        <v>60</v>
      </c>
      <c r="G349" s="3" t="s">
        <v>5392</v>
      </c>
      <c r="H349" s="3" t="s">
        <v>2688</v>
      </c>
      <c r="I349" s="3" t="s">
        <v>2689</v>
      </c>
      <c r="J349" s="44" t="str">
        <f>HYPERLINK("https://www.centcols.org/util/geo/visuGen.php?code=FR-26-1285","FR-26-1285")</f>
        <v>FR-26-1285</v>
      </c>
      <c r="K349" s="3" t="s">
        <v>2690</v>
      </c>
      <c r="L349" s="1" t="s">
        <v>2691</v>
      </c>
      <c r="M349" s="8">
        <v>0</v>
      </c>
      <c r="N349" s="8">
        <v>0</v>
      </c>
      <c r="O349" s="4"/>
      <c r="P349" s="3"/>
      <c r="Q349" s="3" t="s">
        <v>2692</v>
      </c>
      <c r="R349" s="3" t="s">
        <v>2693</v>
      </c>
      <c r="S349" s="25">
        <v>5.54889339114938</v>
      </c>
      <c r="T349" s="25">
        <v>44.285346454394535</v>
      </c>
      <c r="U349" s="2">
        <v>31</v>
      </c>
      <c r="V349" s="3">
        <v>703375</v>
      </c>
      <c r="W349" s="3">
        <v>4906726</v>
      </c>
      <c r="X349" s="25">
        <v>3.569122464429214</v>
      </c>
      <c r="Y349" s="25">
        <v>49.20593682075681</v>
      </c>
      <c r="Z349" s="6"/>
      <c r="AA349" s="7" t="s">
        <v>5138</v>
      </c>
      <c r="AB349" s="8" t="s">
        <v>5571</v>
      </c>
      <c r="AC349" s="9">
        <v>41213</v>
      </c>
      <c r="AD349" s="10">
        <v>1</v>
      </c>
      <c r="AE349" s="31" t="s">
        <v>2694</v>
      </c>
    </row>
    <row r="350" spans="1:31" ht="12.75">
      <c r="A350" s="4" t="s">
        <v>2695</v>
      </c>
      <c r="B350" s="1" t="s">
        <v>5534</v>
      </c>
      <c r="C350" s="1" t="s">
        <v>2696</v>
      </c>
      <c r="D350" s="1" t="s">
        <v>2697</v>
      </c>
      <c r="E350" s="2">
        <v>1290</v>
      </c>
      <c r="F350" s="2">
        <v>52</v>
      </c>
      <c r="G350" s="3" t="s">
        <v>5029</v>
      </c>
      <c r="H350" s="3" t="s">
        <v>2698</v>
      </c>
      <c r="I350" s="3" t="s">
        <v>2699</v>
      </c>
      <c r="J350" s="44" t="str">
        <f>HYPERLINK("https://www.centcols.org/util/geo/visuGen.php?code=FR-26-1290","FR-26-1290")</f>
        <v>FR-26-1290</v>
      </c>
      <c r="K350" s="3"/>
      <c r="L350" s="1" t="s">
        <v>5257</v>
      </c>
      <c r="M350" s="8">
        <v>1</v>
      </c>
      <c r="N350" s="8">
        <v>10</v>
      </c>
      <c r="O350" s="4"/>
      <c r="P350" s="3"/>
      <c r="Q350" s="3" t="s">
        <v>2700</v>
      </c>
      <c r="R350" s="3" t="s">
        <v>2701</v>
      </c>
      <c r="S350" s="25">
        <v>5.219011192225875</v>
      </c>
      <c r="T350" s="25">
        <v>44.907400777593296</v>
      </c>
      <c r="U350" s="2">
        <v>31</v>
      </c>
      <c r="V350" s="3">
        <v>675174</v>
      </c>
      <c r="W350" s="3">
        <v>4975059</v>
      </c>
      <c r="X350" s="25">
        <v>3.202605996822575</v>
      </c>
      <c r="Y350" s="25">
        <v>49.897125244226665</v>
      </c>
      <c r="Z350" s="6"/>
      <c r="AA350" s="7" t="s">
        <v>5138</v>
      </c>
      <c r="AB350" s="8">
        <v>2004</v>
      </c>
      <c r="AC350" s="9"/>
      <c r="AD350" s="10">
        <v>1</v>
      </c>
      <c r="AE350" s="31" t="s">
        <v>2702</v>
      </c>
    </row>
    <row r="351" spans="1:31" ht="22.5">
      <c r="A351" s="4" t="s">
        <v>2703</v>
      </c>
      <c r="B351" s="1" t="s">
        <v>2704</v>
      </c>
      <c r="C351" s="1" t="s">
        <v>5485</v>
      </c>
      <c r="D351" s="1" t="s">
        <v>5486</v>
      </c>
      <c r="E351" s="2">
        <v>1325</v>
      </c>
      <c r="F351" s="2">
        <v>52</v>
      </c>
      <c r="G351" s="3" t="s">
        <v>5021</v>
      </c>
      <c r="H351" s="3" t="s">
        <v>5487</v>
      </c>
      <c r="I351" s="3" t="s">
        <v>5488</v>
      </c>
      <c r="J351" s="44" t="str">
        <f>HYPERLINK("https://www.centcols.org/util/geo/visuGen.php?code=FR-26-1325a","FR-26-1325a")</f>
        <v>FR-26-1325a</v>
      </c>
      <c r="K351" s="3"/>
      <c r="L351" s="1"/>
      <c r="M351" s="8">
        <v>99</v>
      </c>
      <c r="N351" s="8">
        <v>20</v>
      </c>
      <c r="O351" s="4"/>
      <c r="P351" s="3"/>
      <c r="Q351" s="3" t="s">
        <v>5489</v>
      </c>
      <c r="R351" s="3" t="s">
        <v>5490</v>
      </c>
      <c r="S351" s="25">
        <v>5.192204</v>
      </c>
      <c r="T351" s="25">
        <v>44.617824</v>
      </c>
      <c r="U351" s="2">
        <v>31</v>
      </c>
      <c r="V351" s="3">
        <v>673925</v>
      </c>
      <c r="W351" s="3">
        <v>4942834</v>
      </c>
      <c r="X351" s="25">
        <v>3.172817</v>
      </c>
      <c r="Y351" s="25">
        <v>49.575367</v>
      </c>
      <c r="Z351" s="6"/>
      <c r="AA351" s="7" t="s">
        <v>5138</v>
      </c>
      <c r="AB351" s="8">
        <v>2017</v>
      </c>
      <c r="AC351" s="9"/>
      <c r="AD351" s="10"/>
      <c r="AE351" s="31" t="s">
        <v>5491</v>
      </c>
    </row>
    <row r="352" spans="1:31" ht="12.75">
      <c r="A352" s="4" t="s">
        <v>5492</v>
      </c>
      <c r="B352" s="1" t="s">
        <v>5262</v>
      </c>
      <c r="C352" s="1" t="s">
        <v>5493</v>
      </c>
      <c r="D352" s="1" t="s">
        <v>5493</v>
      </c>
      <c r="E352" s="2">
        <v>1360</v>
      </c>
      <c r="F352" s="2">
        <v>52</v>
      </c>
      <c r="G352" s="3" t="s">
        <v>5029</v>
      </c>
      <c r="H352" s="3" t="s">
        <v>5494</v>
      </c>
      <c r="I352" s="3" t="s">
        <v>5495</v>
      </c>
      <c r="J352" s="44" t="str">
        <f>HYPERLINK("https://www.centcols.org/util/geo/visuGen.php?code=FR-26-1360","FR-26-1360")</f>
        <v>FR-26-1360</v>
      </c>
      <c r="K352" s="3"/>
      <c r="L352" s="1" t="s">
        <v>5726</v>
      </c>
      <c r="M352" s="8">
        <v>99</v>
      </c>
      <c r="N352" s="8">
        <v>15</v>
      </c>
      <c r="O352" s="4"/>
      <c r="P352" s="3"/>
      <c r="Q352" s="3" t="s">
        <v>5496</v>
      </c>
      <c r="R352" s="3" t="s">
        <v>5497</v>
      </c>
      <c r="S352" s="25">
        <v>5.354024495870794</v>
      </c>
      <c r="T352" s="25">
        <v>44.83040940230205</v>
      </c>
      <c r="U352" s="2">
        <v>31</v>
      </c>
      <c r="V352" s="3">
        <v>686080</v>
      </c>
      <c r="W352" s="3">
        <v>4966807</v>
      </c>
      <c r="X352" s="25">
        <v>3.3526144448893</v>
      </c>
      <c r="Y352" s="25">
        <v>49.81157674886267</v>
      </c>
      <c r="Z352" s="6"/>
      <c r="AA352" s="7" t="s">
        <v>5138</v>
      </c>
      <c r="AB352" s="8" t="s">
        <v>5571</v>
      </c>
      <c r="AC352" s="9">
        <v>41215</v>
      </c>
      <c r="AD352" s="10">
        <v>1</v>
      </c>
      <c r="AE352" s="31" t="s">
        <v>5498</v>
      </c>
    </row>
    <row r="353" spans="1:31" ht="12.75">
      <c r="A353" s="4" t="s">
        <v>5499</v>
      </c>
      <c r="B353" s="1" t="s">
        <v>5741</v>
      </c>
      <c r="C353" s="1" t="s">
        <v>5500</v>
      </c>
      <c r="D353" s="1" t="s">
        <v>5501</v>
      </c>
      <c r="E353" s="2">
        <v>1530</v>
      </c>
      <c r="F353" s="2">
        <v>52</v>
      </c>
      <c r="G353" s="3" t="s">
        <v>5029</v>
      </c>
      <c r="H353" s="3" t="s">
        <v>5502</v>
      </c>
      <c r="I353" s="3" t="s">
        <v>5503</v>
      </c>
      <c r="J353" s="44" t="str">
        <f>HYPERLINK("https://www.centcols.org/util/geo/visuGen.php?code=FR-26-1500a","FR-26-1500a")</f>
        <v>FR-26-1500a</v>
      </c>
      <c r="K353" s="3"/>
      <c r="L353" s="1" t="s">
        <v>5661</v>
      </c>
      <c r="M353" s="8">
        <v>2</v>
      </c>
      <c r="N353" s="8">
        <v>15</v>
      </c>
      <c r="O353" s="4"/>
      <c r="P353" s="3"/>
      <c r="Q353" s="3" t="s">
        <v>5504</v>
      </c>
      <c r="R353" s="3" t="s">
        <v>5505</v>
      </c>
      <c r="S353" s="25">
        <v>5.336472</v>
      </c>
      <c r="T353" s="25">
        <v>44.882235</v>
      </c>
      <c r="U353" s="2">
        <v>31</v>
      </c>
      <c r="V353" s="3">
        <v>684527</v>
      </c>
      <c r="W353" s="3">
        <v>4972524</v>
      </c>
      <c r="X353" s="25">
        <v>3.333112</v>
      </c>
      <c r="Y353" s="25">
        <v>49.869162</v>
      </c>
      <c r="Z353" s="6" t="s">
        <v>5506</v>
      </c>
      <c r="AA353" s="7" t="s">
        <v>5176</v>
      </c>
      <c r="AB353" s="8">
        <v>2016</v>
      </c>
      <c r="AC353" s="9"/>
      <c r="AD353" s="10"/>
      <c r="AE353" s="31" t="s">
        <v>5507</v>
      </c>
    </row>
    <row r="354" spans="1:31" ht="12.75">
      <c r="A354" s="4" t="s">
        <v>5508</v>
      </c>
      <c r="B354" s="1" t="s">
        <v>4347</v>
      </c>
      <c r="C354" s="1" t="s">
        <v>5509</v>
      </c>
      <c r="D354" s="1" t="s">
        <v>5510</v>
      </c>
      <c r="E354" s="2">
        <v>1535</v>
      </c>
      <c r="F354" s="2">
        <v>52</v>
      </c>
      <c r="G354" s="3" t="s">
        <v>5029</v>
      </c>
      <c r="H354" s="3" t="s">
        <v>5511</v>
      </c>
      <c r="I354" s="3" t="s">
        <v>5512</v>
      </c>
      <c r="J354" s="44" t="str">
        <f>HYPERLINK("https://www.centcols.org/util/geo/visuGen.php?code=FR-26-1500b","FR-26-1500b")</f>
        <v>FR-26-1500b</v>
      </c>
      <c r="K354" s="3"/>
      <c r="L354" s="1" t="s">
        <v>5513</v>
      </c>
      <c r="M354" s="8">
        <v>2</v>
      </c>
      <c r="N354" s="8">
        <v>15</v>
      </c>
      <c r="O354" s="4"/>
      <c r="P354" s="3"/>
      <c r="Q354" s="3" t="s">
        <v>5514</v>
      </c>
      <c r="R354" s="3" t="s">
        <v>5515</v>
      </c>
      <c r="S354" s="25">
        <v>5.325408</v>
      </c>
      <c r="T354" s="25">
        <v>44.883388</v>
      </c>
      <c r="U354" s="2">
        <v>31</v>
      </c>
      <c r="V354" s="3">
        <v>683649</v>
      </c>
      <c r="W354" s="3">
        <v>4972627</v>
      </c>
      <c r="X354" s="25">
        <v>3.32082</v>
      </c>
      <c r="Y354" s="25">
        <v>49.870443</v>
      </c>
      <c r="Z354" s="6" t="s">
        <v>5506</v>
      </c>
      <c r="AA354" s="7" t="s">
        <v>5176</v>
      </c>
      <c r="AB354" s="8">
        <v>2016</v>
      </c>
      <c r="AC354" s="9"/>
      <c r="AD354" s="10"/>
      <c r="AE354" s="31" t="s">
        <v>5507</v>
      </c>
    </row>
    <row r="355" spans="1:31" ht="12.75">
      <c r="A355" s="4" t="s">
        <v>5516</v>
      </c>
      <c r="B355" s="1" t="s">
        <v>5704</v>
      </c>
      <c r="C355" s="1" t="s">
        <v>5517</v>
      </c>
      <c r="D355" s="1" t="s">
        <v>5518</v>
      </c>
      <c r="E355" s="2">
        <v>1540</v>
      </c>
      <c r="F355" s="2">
        <v>52</v>
      </c>
      <c r="G355" s="3" t="s">
        <v>5519</v>
      </c>
      <c r="H355" s="3" t="s">
        <v>5520</v>
      </c>
      <c r="I355" s="3" t="s">
        <v>5521</v>
      </c>
      <c r="J355" s="44" t="str">
        <f>HYPERLINK("https://www.centcols.org/util/geo/visuGen.php?code=FR-26-1540","FR-26-1540")</f>
        <v>FR-26-1540</v>
      </c>
      <c r="K355" s="3"/>
      <c r="L355" s="1"/>
      <c r="M355" s="8">
        <v>99</v>
      </c>
      <c r="N355" s="8">
        <v>20</v>
      </c>
      <c r="O355" s="4"/>
      <c r="P355" s="3"/>
      <c r="Q355" s="3" t="s">
        <v>5522</v>
      </c>
      <c r="R355" s="3" t="s">
        <v>5523</v>
      </c>
      <c r="S355" s="25">
        <v>5.489009</v>
      </c>
      <c r="T355" s="25">
        <v>44.732956</v>
      </c>
      <c r="U355" s="2">
        <v>31</v>
      </c>
      <c r="V355" s="3">
        <v>697082</v>
      </c>
      <c r="W355" s="3">
        <v>4956300</v>
      </c>
      <c r="X355" s="25">
        <v>3.502591</v>
      </c>
      <c r="Y355" s="25">
        <v>49.703292</v>
      </c>
      <c r="Z355" s="6"/>
      <c r="AA355" s="7" t="s">
        <v>5138</v>
      </c>
      <c r="AB355" s="8">
        <v>2014</v>
      </c>
      <c r="AC355" s="9">
        <v>41640</v>
      </c>
      <c r="AD355" s="10"/>
      <c r="AE355" s="31" t="s">
        <v>5524</v>
      </c>
    </row>
    <row r="356" spans="1:31" ht="12.75">
      <c r="A356" s="4" t="s">
        <v>5525</v>
      </c>
      <c r="B356" s="1" t="s">
        <v>5923</v>
      </c>
      <c r="C356" s="1" t="s">
        <v>5526</v>
      </c>
      <c r="D356" s="1" t="s">
        <v>5527</v>
      </c>
      <c r="E356" s="2">
        <v>1543</v>
      </c>
      <c r="F356" s="2">
        <v>52</v>
      </c>
      <c r="G356" s="3" t="s">
        <v>5029</v>
      </c>
      <c r="H356" s="3" t="s">
        <v>5528</v>
      </c>
      <c r="I356" s="3" t="s">
        <v>5529</v>
      </c>
      <c r="J356" s="44" t="str">
        <f>HYPERLINK("https://www.centcols.org/util/geo/visuGen.php?code=FR-26-1543a","FR-26-1543a")</f>
        <v>FR-26-1543a</v>
      </c>
      <c r="K356" s="3"/>
      <c r="L356" s="1" t="s">
        <v>5176</v>
      </c>
      <c r="M356" s="8">
        <v>99</v>
      </c>
      <c r="N356" s="8">
        <v>15</v>
      </c>
      <c r="O356" s="4"/>
      <c r="P356" s="3"/>
      <c r="Q356" s="3" t="s">
        <v>5530</v>
      </c>
      <c r="R356" s="3" t="s">
        <v>5531</v>
      </c>
      <c r="S356" s="25">
        <v>5.344496431339196</v>
      </c>
      <c r="T356" s="25">
        <v>44.88978564848731</v>
      </c>
      <c r="U356" s="2">
        <v>31</v>
      </c>
      <c r="V356" s="3">
        <v>685136</v>
      </c>
      <c r="W356" s="3">
        <v>4973381</v>
      </c>
      <c r="X356" s="25">
        <v>3.3420286698733697</v>
      </c>
      <c r="Y356" s="25">
        <v>49.8775519011318</v>
      </c>
      <c r="Z356" s="6"/>
      <c r="AA356" s="7" t="s">
        <v>5138</v>
      </c>
      <c r="AB356" s="8">
        <v>2011</v>
      </c>
      <c r="AC356" s="9"/>
      <c r="AD356" s="10">
        <v>1</v>
      </c>
      <c r="AE356" s="31" t="s">
        <v>2731</v>
      </c>
    </row>
    <row r="357" spans="1:31" ht="12.75">
      <c r="A357" s="4" t="s">
        <v>2732</v>
      </c>
      <c r="B357" s="1" t="s">
        <v>5704</v>
      </c>
      <c r="C357" s="1" t="s">
        <v>2733</v>
      </c>
      <c r="D357" s="1" t="s">
        <v>2734</v>
      </c>
      <c r="E357" s="2">
        <v>1630</v>
      </c>
      <c r="F357" s="2">
        <v>52</v>
      </c>
      <c r="G357" s="3" t="s">
        <v>5029</v>
      </c>
      <c r="H357" s="3" t="s">
        <v>2735</v>
      </c>
      <c r="I357" s="3" t="s">
        <v>2736</v>
      </c>
      <c r="J357" s="44" t="str">
        <f>HYPERLINK("https://www.centcols.org/util/geo/visuGen.php?code=FR-26-1660a","FR-26-1660a")</f>
        <v>FR-26-1660a</v>
      </c>
      <c r="K357" s="3"/>
      <c r="L357" s="1" t="s">
        <v>2737</v>
      </c>
      <c r="M357" s="8">
        <v>2</v>
      </c>
      <c r="N357" s="8">
        <v>15</v>
      </c>
      <c r="O357" s="4"/>
      <c r="P357" s="3"/>
      <c r="Q357" s="3" t="s">
        <v>2738</v>
      </c>
      <c r="R357" s="3" t="s">
        <v>2739</v>
      </c>
      <c r="S357" s="25">
        <v>5.304328</v>
      </c>
      <c r="T357" s="25">
        <v>44.903768</v>
      </c>
      <c r="U357" s="2">
        <v>31</v>
      </c>
      <c r="V357" s="3">
        <v>681920</v>
      </c>
      <c r="W357" s="3">
        <v>4974843</v>
      </c>
      <c r="X357" s="25">
        <v>3.297399</v>
      </c>
      <c r="Y357" s="25">
        <v>49.893088</v>
      </c>
      <c r="Z357" s="6" t="s">
        <v>2740</v>
      </c>
      <c r="AA357" s="7" t="s">
        <v>5176</v>
      </c>
      <c r="AB357" s="8" t="s">
        <v>6200</v>
      </c>
      <c r="AC357" s="9">
        <v>41773</v>
      </c>
      <c r="AD357" s="10"/>
      <c r="AE357" s="31" t="s">
        <v>2741</v>
      </c>
    </row>
    <row r="358" spans="1:31" ht="12.75">
      <c r="A358" s="4" t="s">
        <v>2742</v>
      </c>
      <c r="B358" s="1" t="s">
        <v>5574</v>
      </c>
      <c r="C358" s="1" t="s">
        <v>2743</v>
      </c>
      <c r="D358" s="1" t="s">
        <v>2744</v>
      </c>
      <c r="E358" s="2">
        <v>1660</v>
      </c>
      <c r="F358" s="2">
        <v>52</v>
      </c>
      <c r="G358" s="3" t="s">
        <v>5519</v>
      </c>
      <c r="H358" s="3" t="s">
        <v>2745</v>
      </c>
      <c r="I358" s="3" t="s">
        <v>2746</v>
      </c>
      <c r="J358" s="44" t="str">
        <f>HYPERLINK("https://www.centcols.org/util/geo/visuGen.php?code=FR-26-1660b","FR-26-1660b")</f>
        <v>FR-26-1660b</v>
      </c>
      <c r="K358" s="3"/>
      <c r="L358" s="1" t="s">
        <v>5746</v>
      </c>
      <c r="M358" s="8">
        <v>99</v>
      </c>
      <c r="N358" s="8">
        <v>20</v>
      </c>
      <c r="O358" s="4"/>
      <c r="P358" s="3"/>
      <c r="Q358" s="3" t="s">
        <v>2747</v>
      </c>
      <c r="R358" s="3" t="s">
        <v>2748</v>
      </c>
      <c r="S358" s="25">
        <v>5.480942</v>
      </c>
      <c r="T358" s="25">
        <v>44.75433</v>
      </c>
      <c r="U358" s="2">
        <v>31</v>
      </c>
      <c r="V358" s="3">
        <v>696371</v>
      </c>
      <c r="W358" s="3">
        <v>4958654</v>
      </c>
      <c r="X358" s="25">
        <v>3.493628</v>
      </c>
      <c r="Y358" s="25">
        <v>49.727042</v>
      </c>
      <c r="Z358" s="6"/>
      <c r="AA358" s="7" t="s">
        <v>5176</v>
      </c>
      <c r="AB358" s="8" t="s">
        <v>5711</v>
      </c>
      <c r="AC358" s="9"/>
      <c r="AD358" s="10">
        <v>1</v>
      </c>
      <c r="AE358" s="31" t="s">
        <v>2749</v>
      </c>
    </row>
    <row r="359" spans="1:31" ht="12.75">
      <c r="A359" s="4" t="s">
        <v>2750</v>
      </c>
      <c r="B359" s="1" t="s">
        <v>5741</v>
      </c>
      <c r="C359" s="1" t="s">
        <v>2751</v>
      </c>
      <c r="D359" s="1" t="s">
        <v>2752</v>
      </c>
      <c r="E359" s="2">
        <v>1778</v>
      </c>
      <c r="F359" s="2">
        <v>52</v>
      </c>
      <c r="G359" s="3" t="s">
        <v>5519</v>
      </c>
      <c r="H359" s="3" t="s">
        <v>2753</v>
      </c>
      <c r="I359" s="3" t="s">
        <v>2754</v>
      </c>
      <c r="J359" s="44" t="str">
        <f>HYPERLINK("https://www.centcols.org/util/geo/visuGen.php?code=FR-26-1778","FR-26-1778")</f>
        <v>FR-26-1778</v>
      </c>
      <c r="K359" s="3"/>
      <c r="L359" s="1" t="s">
        <v>5746</v>
      </c>
      <c r="M359" s="8">
        <v>99</v>
      </c>
      <c r="N359" s="8">
        <v>20</v>
      </c>
      <c r="O359" s="4"/>
      <c r="P359" s="3"/>
      <c r="Q359" s="3" t="s">
        <v>2755</v>
      </c>
      <c r="R359" s="3" t="s">
        <v>2756</v>
      </c>
      <c r="S359" s="25">
        <v>5.538328</v>
      </c>
      <c r="T359" s="25">
        <v>44.764931</v>
      </c>
      <c r="U359" s="2">
        <v>31</v>
      </c>
      <c r="V359" s="3">
        <v>700876</v>
      </c>
      <c r="W359" s="3">
        <v>4959972</v>
      </c>
      <c r="X359" s="25">
        <v>3.557389</v>
      </c>
      <c r="Y359" s="25">
        <v>49.738821</v>
      </c>
      <c r="Z359" s="6"/>
      <c r="AA359" s="7" t="s">
        <v>5176</v>
      </c>
      <c r="AB359" s="8" t="s">
        <v>5711</v>
      </c>
      <c r="AC359" s="9"/>
      <c r="AD359" s="10">
        <v>1</v>
      </c>
      <c r="AE359" s="31" t="s">
        <v>2749</v>
      </c>
    </row>
    <row r="360" spans="1:31" ht="12.75">
      <c r="A360" s="4" t="s">
        <v>2757</v>
      </c>
      <c r="B360" s="1" t="s">
        <v>5656</v>
      </c>
      <c r="C360" s="1" t="s">
        <v>2758</v>
      </c>
      <c r="D360" s="1" t="s">
        <v>2759</v>
      </c>
      <c r="E360" s="2">
        <v>1780</v>
      </c>
      <c r="F360" s="2">
        <v>54</v>
      </c>
      <c r="G360" s="3" t="s">
        <v>2760</v>
      </c>
      <c r="H360" s="3" t="s">
        <v>2761</v>
      </c>
      <c r="I360" s="3" t="s">
        <v>2762</v>
      </c>
      <c r="J360" s="44" t="str">
        <f>HYPERLINK("https://www.centcols.org/util/geo/visuGen.php?code=FR-26-1803","FR-26-1803")</f>
        <v>FR-26-1803</v>
      </c>
      <c r="K360" s="3"/>
      <c r="L360" s="1" t="s">
        <v>5176</v>
      </c>
      <c r="M360" s="2">
        <v>99</v>
      </c>
      <c r="N360" s="2">
        <v>20</v>
      </c>
      <c r="O360" s="5"/>
      <c r="P360" s="3"/>
      <c r="Q360" s="3" t="s">
        <v>2763</v>
      </c>
      <c r="R360" s="3" t="s">
        <v>2764</v>
      </c>
      <c r="S360" s="25">
        <v>5.781918</v>
      </c>
      <c r="T360" s="25">
        <v>44.676094</v>
      </c>
      <c r="U360" s="22">
        <v>31</v>
      </c>
      <c r="V360" s="3">
        <v>720491</v>
      </c>
      <c r="W360" s="3">
        <v>4950735</v>
      </c>
      <c r="X360" s="25">
        <v>3.828034349286075</v>
      </c>
      <c r="Y360" s="25">
        <v>49.640109451254524</v>
      </c>
      <c r="Z360" s="6"/>
      <c r="AA360" s="7" t="s">
        <v>5176</v>
      </c>
      <c r="AB360" s="8" t="s">
        <v>5571</v>
      </c>
      <c r="AC360" s="9">
        <v>41214</v>
      </c>
      <c r="AD360" s="10">
        <v>1</v>
      </c>
      <c r="AE360" s="31" t="s">
        <v>2765</v>
      </c>
    </row>
    <row r="361" spans="1:31" ht="12.75">
      <c r="A361" s="4" t="s">
        <v>2766</v>
      </c>
      <c r="B361" s="1" t="s">
        <v>5981</v>
      </c>
      <c r="C361" s="1" t="s">
        <v>2767</v>
      </c>
      <c r="D361" s="1" t="s">
        <v>2768</v>
      </c>
      <c r="E361" s="2">
        <v>209</v>
      </c>
      <c r="F361" s="2">
        <v>18</v>
      </c>
      <c r="G361" s="3" t="s">
        <v>2769</v>
      </c>
      <c r="H361" s="3" t="s">
        <v>2770</v>
      </c>
      <c r="I361" s="3" t="s">
        <v>2771</v>
      </c>
      <c r="J361" s="44" t="str">
        <f>HYPERLINK("https://www.centcols.org/util/geo/visuGen.php?code=FR-27-0209","FR-27-0209")</f>
        <v>FR-27-0209</v>
      </c>
      <c r="K361" s="3"/>
      <c r="L361" s="1" t="s">
        <v>5138</v>
      </c>
      <c r="M361" s="8">
        <v>99</v>
      </c>
      <c r="N361" s="8">
        <v>10</v>
      </c>
      <c r="O361" s="4"/>
      <c r="P361" s="3"/>
      <c r="Q361" s="3" t="s">
        <v>2772</v>
      </c>
      <c r="R361" s="3" t="s">
        <v>2773</v>
      </c>
      <c r="S361" s="25">
        <v>0.5188954709237253</v>
      </c>
      <c r="T361" s="25">
        <v>48.92275012932464</v>
      </c>
      <c r="U361" s="2">
        <v>31</v>
      </c>
      <c r="V361" s="3">
        <v>318253</v>
      </c>
      <c r="W361" s="3">
        <v>5421836</v>
      </c>
      <c r="X361" s="25">
        <v>-2.0194965129893707</v>
      </c>
      <c r="Y361" s="25">
        <v>54.35869496422513</v>
      </c>
      <c r="Z361" s="6"/>
      <c r="AA361" s="7" t="s">
        <v>5138</v>
      </c>
      <c r="AB361" s="8" t="s">
        <v>5571</v>
      </c>
      <c r="AC361" s="9">
        <v>41219</v>
      </c>
      <c r="AD361" s="10">
        <v>1</v>
      </c>
      <c r="AE361" s="31" t="s">
        <v>5269</v>
      </c>
    </row>
    <row r="362" spans="1:31" ht="12.75">
      <c r="A362" s="4" t="s">
        <v>2774</v>
      </c>
      <c r="B362" s="1" t="s">
        <v>2775</v>
      </c>
      <c r="C362" s="1" t="s">
        <v>2776</v>
      </c>
      <c r="D362" s="1" t="s">
        <v>2777</v>
      </c>
      <c r="E362" s="2">
        <v>32</v>
      </c>
      <c r="F362" s="2">
        <v>74</v>
      </c>
      <c r="G362" s="3" t="s">
        <v>2778</v>
      </c>
      <c r="H362" s="3" t="s">
        <v>2779</v>
      </c>
      <c r="I362" s="3" t="s">
        <v>2780</v>
      </c>
      <c r="J362" s="44" t="str">
        <f>HYPERLINK("https://www.centcols.org/util/geo/visuGen.php?code=FR-2A-0032","FR-2A-0032")</f>
        <v>FR-2A-0032</v>
      </c>
      <c r="K362" s="3" t="s">
        <v>2781</v>
      </c>
      <c r="L362" s="1" t="s">
        <v>5157</v>
      </c>
      <c r="M362" s="8">
        <v>0</v>
      </c>
      <c r="N362" s="8">
        <v>0</v>
      </c>
      <c r="O362" s="4"/>
      <c r="P362" s="3"/>
      <c r="Q362" s="3" t="s">
        <v>2782</v>
      </c>
      <c r="R362" s="3" t="s">
        <v>2783</v>
      </c>
      <c r="S362" s="25">
        <v>8.807696</v>
      </c>
      <c r="T362" s="25">
        <v>41.63727</v>
      </c>
      <c r="U362" s="2">
        <v>32</v>
      </c>
      <c r="V362" s="3">
        <v>483984</v>
      </c>
      <c r="W362" s="3">
        <v>4609522</v>
      </c>
      <c r="X362" s="25">
        <v>7.189858</v>
      </c>
      <c r="Y362" s="25">
        <v>46.263529</v>
      </c>
      <c r="Z362" s="6"/>
      <c r="AA362" s="7" t="s">
        <v>5138</v>
      </c>
      <c r="AB362" s="8">
        <v>2017</v>
      </c>
      <c r="AC362" s="9"/>
      <c r="AD362" s="10"/>
      <c r="AE362" s="31" t="s">
        <v>2784</v>
      </c>
    </row>
    <row r="363" spans="1:31" ht="12.75">
      <c r="A363" s="4" t="s">
        <v>2785</v>
      </c>
      <c r="B363" s="1" t="s">
        <v>2786</v>
      </c>
      <c r="C363" s="1" t="s">
        <v>2787</v>
      </c>
      <c r="D363" s="1" t="s">
        <v>2788</v>
      </c>
      <c r="E363" s="2">
        <v>39</v>
      </c>
      <c r="F363" s="2">
        <v>74</v>
      </c>
      <c r="G363" s="3" t="s">
        <v>2789</v>
      </c>
      <c r="H363" s="3" t="s">
        <v>2790</v>
      </c>
      <c r="I363" s="3" t="s">
        <v>2791</v>
      </c>
      <c r="J363" s="44" t="str">
        <f>HYPERLINK("https://www.centcols.org/util/geo/visuGen.php?code=FR-2A-0039","FR-2A-0039")</f>
        <v>FR-2A-0039</v>
      </c>
      <c r="K363" s="3"/>
      <c r="L363" s="1" t="s">
        <v>5746</v>
      </c>
      <c r="M363" s="8">
        <v>99</v>
      </c>
      <c r="N363" s="8">
        <v>20</v>
      </c>
      <c r="O363" s="4"/>
      <c r="P363" s="3"/>
      <c r="Q363" s="3" t="s">
        <v>2792</v>
      </c>
      <c r="R363" s="3" t="s">
        <v>2793</v>
      </c>
      <c r="S363" s="25">
        <v>9.304426427878354</v>
      </c>
      <c r="T363" s="25">
        <v>41.647578831929046</v>
      </c>
      <c r="U363" s="2">
        <v>32</v>
      </c>
      <c r="V363" s="3">
        <v>525351</v>
      </c>
      <c r="W363" s="3">
        <v>4610693</v>
      </c>
      <c r="X363" s="25">
        <v>7.741757718991248</v>
      </c>
      <c r="Y363" s="25">
        <v>46.275</v>
      </c>
      <c r="Z363" s="6"/>
      <c r="AA363" s="7" t="s">
        <v>5176</v>
      </c>
      <c r="AB363" s="8" t="s">
        <v>5802</v>
      </c>
      <c r="AC363" s="9"/>
      <c r="AD363" s="10">
        <v>1</v>
      </c>
      <c r="AE363" s="31" t="s">
        <v>2794</v>
      </c>
    </row>
    <row r="364" spans="1:31" ht="12.75">
      <c r="A364" s="4" t="s">
        <v>2795</v>
      </c>
      <c r="B364" s="1" t="s">
        <v>5128</v>
      </c>
      <c r="C364" s="1" t="s">
        <v>2796</v>
      </c>
      <c r="D364" s="1" t="s">
        <v>2797</v>
      </c>
      <c r="E364" s="2">
        <v>45</v>
      </c>
      <c r="F364" s="2">
        <v>74</v>
      </c>
      <c r="G364" s="3" t="s">
        <v>2798</v>
      </c>
      <c r="H364" s="3" t="s">
        <v>2799</v>
      </c>
      <c r="I364" s="3" t="s">
        <v>2800</v>
      </c>
      <c r="J364" s="44" t="str">
        <f>HYPERLINK("https://www.centcols.org/util/geo/visuGen.php?code=FR-2A-0045","FR-2A-0045")</f>
        <v>FR-2A-0045</v>
      </c>
      <c r="K364" s="3" t="s">
        <v>2801</v>
      </c>
      <c r="L364" s="1" t="s">
        <v>2802</v>
      </c>
      <c r="M364" s="8">
        <v>0</v>
      </c>
      <c r="N364" s="8">
        <v>0</v>
      </c>
      <c r="O364" s="4"/>
      <c r="P364" s="3"/>
      <c r="Q364" s="3" t="s">
        <v>2803</v>
      </c>
      <c r="R364" s="3" t="s">
        <v>2804</v>
      </c>
      <c r="S364" s="25">
        <v>9.187373</v>
      </c>
      <c r="T364" s="25">
        <v>41.428018</v>
      </c>
      <c r="U364" s="2">
        <v>32</v>
      </c>
      <c r="V364" s="3">
        <v>515656</v>
      </c>
      <c r="W364" s="3">
        <v>4586290</v>
      </c>
      <c r="X364" s="25">
        <v>7.611705</v>
      </c>
      <c r="Y364" s="25">
        <v>46.031023</v>
      </c>
      <c r="Z364" s="6"/>
      <c r="AA364" s="7" t="s">
        <v>5176</v>
      </c>
      <c r="AB364" s="8" t="s">
        <v>5711</v>
      </c>
      <c r="AC364" s="9"/>
      <c r="AD364" s="10">
        <v>1</v>
      </c>
      <c r="AE364" s="31" t="s">
        <v>4866</v>
      </c>
    </row>
    <row r="365" spans="1:31" ht="12.75">
      <c r="A365" s="4" t="s">
        <v>2805</v>
      </c>
      <c r="B365" s="1" t="s">
        <v>6046</v>
      </c>
      <c r="C365" s="1" t="s">
        <v>2806</v>
      </c>
      <c r="D365" s="1" t="s">
        <v>2807</v>
      </c>
      <c r="E365" s="2">
        <v>508</v>
      </c>
      <c r="F365" s="2">
        <v>74</v>
      </c>
      <c r="G365" s="3" t="s">
        <v>2808</v>
      </c>
      <c r="H365" s="3" t="s">
        <v>2809</v>
      </c>
      <c r="I365" s="3" t="s">
        <v>2810</v>
      </c>
      <c r="J365" s="44" t="str">
        <f>HYPERLINK("https://www.centcols.org/util/geo/visuGen.php?code=FR-2A-0508","FR-2A-0508")</f>
        <v>FR-2A-0508</v>
      </c>
      <c r="K365" s="3" t="s">
        <v>2811</v>
      </c>
      <c r="L365" s="1" t="s">
        <v>2812</v>
      </c>
      <c r="M365" s="8">
        <v>0</v>
      </c>
      <c r="N365" s="8">
        <v>0</v>
      </c>
      <c r="O365" s="4"/>
      <c r="P365" s="3"/>
      <c r="Q365" s="3" t="s">
        <v>2813</v>
      </c>
      <c r="R365" s="3" t="s">
        <v>2814</v>
      </c>
      <c r="S365" s="25">
        <v>8.99923647725548</v>
      </c>
      <c r="T365" s="25">
        <v>41.615178634781074</v>
      </c>
      <c r="U365" s="2">
        <v>32</v>
      </c>
      <c r="V365" s="3">
        <v>499936</v>
      </c>
      <c r="W365" s="3">
        <v>4607051</v>
      </c>
      <c r="X365" s="25">
        <v>7.40266998217962</v>
      </c>
      <c r="Y365" s="25">
        <v>46.239</v>
      </c>
      <c r="Z365" s="6"/>
      <c r="AA365" s="7" t="s">
        <v>5176</v>
      </c>
      <c r="AB365" s="8" t="s">
        <v>5802</v>
      </c>
      <c r="AC365" s="9"/>
      <c r="AD365" s="10">
        <v>1</v>
      </c>
      <c r="AE365" s="31" t="s">
        <v>2815</v>
      </c>
    </row>
    <row r="366" spans="1:31" ht="12.75">
      <c r="A366" s="4" t="s">
        <v>2816</v>
      </c>
      <c r="B366" s="1" t="s">
        <v>5262</v>
      </c>
      <c r="C366" s="1" t="s">
        <v>2817</v>
      </c>
      <c r="D366" s="1" t="s">
        <v>2817</v>
      </c>
      <c r="E366" s="2">
        <v>525</v>
      </c>
      <c r="F366" s="2">
        <v>74</v>
      </c>
      <c r="G366" s="3" t="s">
        <v>2808</v>
      </c>
      <c r="H366" s="3" t="s">
        <v>2818</v>
      </c>
      <c r="I366" s="3" t="s">
        <v>2819</v>
      </c>
      <c r="J366" s="44" t="str">
        <f>HYPERLINK("https://www.centcols.org/util/geo/visuGen.php?code=FR-2A-0525b","FR-2A-0525b")</f>
        <v>FR-2A-0525b</v>
      </c>
      <c r="K366" s="3" t="s">
        <v>2820</v>
      </c>
      <c r="L366" s="1" t="s">
        <v>2821</v>
      </c>
      <c r="M366" s="8">
        <v>0</v>
      </c>
      <c r="N366" s="8">
        <v>0</v>
      </c>
      <c r="O366" s="4"/>
      <c r="P366" s="3"/>
      <c r="Q366" s="3" t="s">
        <v>2822</v>
      </c>
      <c r="R366" s="3" t="s">
        <v>2823</v>
      </c>
      <c r="S366" s="25">
        <v>9.104747</v>
      </c>
      <c r="T366" s="25">
        <v>41.656922</v>
      </c>
      <c r="U366" s="2">
        <v>32</v>
      </c>
      <c r="V366" s="3">
        <v>508721</v>
      </c>
      <c r="W366" s="3">
        <v>4611691</v>
      </c>
      <c r="X366" s="25">
        <v>7.519903</v>
      </c>
      <c r="Y366" s="25">
        <v>46.285365</v>
      </c>
      <c r="Z366" s="6"/>
      <c r="AA366" s="7" t="s">
        <v>5138</v>
      </c>
      <c r="AB366" s="8">
        <v>2018</v>
      </c>
      <c r="AC366" s="57">
        <v>43199</v>
      </c>
      <c r="AD366" s="10"/>
      <c r="AE366" s="31" t="s">
        <v>2824</v>
      </c>
    </row>
    <row r="367" spans="1:31" ht="12.75">
      <c r="A367" s="4" t="s">
        <v>2825</v>
      </c>
      <c r="B367" s="1" t="s">
        <v>2826</v>
      </c>
      <c r="C367" s="1" t="s">
        <v>2827</v>
      </c>
      <c r="D367" s="1" t="s">
        <v>2828</v>
      </c>
      <c r="E367" s="2">
        <v>725</v>
      </c>
      <c r="F367" s="2">
        <v>74</v>
      </c>
      <c r="G367" s="3" t="s">
        <v>2829</v>
      </c>
      <c r="H367" s="3" t="s">
        <v>2830</v>
      </c>
      <c r="I367" s="3" t="s">
        <v>2831</v>
      </c>
      <c r="J367" s="44" t="str">
        <f>HYPERLINK("https://www.centcols.org/util/geo/visuGen.php?code=FR-2A-0725","FR-2A-0725")</f>
        <v>FR-2A-0725</v>
      </c>
      <c r="K367" s="3"/>
      <c r="L367" s="1" t="s">
        <v>5746</v>
      </c>
      <c r="M367" s="8">
        <v>99</v>
      </c>
      <c r="N367" s="8" t="s">
        <v>2832</v>
      </c>
      <c r="O367" s="4"/>
      <c r="P367" s="3"/>
      <c r="Q367" s="3" t="s">
        <v>2833</v>
      </c>
      <c r="R367" s="3" t="s">
        <v>2834</v>
      </c>
      <c r="S367" s="25">
        <v>8.997701</v>
      </c>
      <c r="T367" s="25">
        <v>41.948601</v>
      </c>
      <c r="U367" s="2">
        <v>32</v>
      </c>
      <c r="V367" s="3">
        <v>499809</v>
      </c>
      <c r="W367" s="3">
        <v>4644070</v>
      </c>
      <c r="X367" s="25">
        <v>7.400968</v>
      </c>
      <c r="Y367" s="25">
        <v>46.609462</v>
      </c>
      <c r="Z367" s="6"/>
      <c r="AA367" s="7" t="s">
        <v>5176</v>
      </c>
      <c r="AB367" s="8">
        <v>2017</v>
      </c>
      <c r="AC367" s="9"/>
      <c r="AD367" s="10"/>
      <c r="AE367" s="31" t="s">
        <v>2835</v>
      </c>
    </row>
    <row r="368" spans="1:31" ht="12.75">
      <c r="A368" s="4" t="s">
        <v>2836</v>
      </c>
      <c r="B368" s="1" t="s">
        <v>2837</v>
      </c>
      <c r="C368" s="1" t="s">
        <v>2838</v>
      </c>
      <c r="D368" s="1" t="s">
        <v>2839</v>
      </c>
      <c r="E368" s="2">
        <v>810</v>
      </c>
      <c r="F368" s="2">
        <v>74</v>
      </c>
      <c r="G368" s="3" t="s">
        <v>2829</v>
      </c>
      <c r="H368" s="3" t="s">
        <v>2840</v>
      </c>
      <c r="I368" s="3" t="s">
        <v>2841</v>
      </c>
      <c r="J368" s="44" t="str">
        <f>HYPERLINK("https://www.centcols.org/util/geo/visuGen.php?code=FR-2A-0745","FR-2A-0745")</f>
        <v>FR-2A-0745</v>
      </c>
      <c r="K368" s="3"/>
      <c r="L368" s="1"/>
      <c r="M368" s="8">
        <v>99</v>
      </c>
      <c r="N368" s="8">
        <v>20</v>
      </c>
      <c r="O368" s="4"/>
      <c r="P368" s="3"/>
      <c r="Q368" s="3" t="s">
        <v>2842</v>
      </c>
      <c r="R368" s="3" t="s">
        <v>2843</v>
      </c>
      <c r="S368" s="25">
        <v>9.081346971049792</v>
      </c>
      <c r="T368" s="25">
        <v>42.09193395485529</v>
      </c>
      <c r="U368" s="2">
        <v>32</v>
      </c>
      <c r="V368" s="3">
        <v>506727</v>
      </c>
      <c r="W368" s="3">
        <v>4659987</v>
      </c>
      <c r="X368" s="25">
        <v>7.493905492065554</v>
      </c>
      <c r="Y368" s="25">
        <v>46.768723560389404</v>
      </c>
      <c r="Z368" s="6"/>
      <c r="AA368" s="7" t="s">
        <v>5176</v>
      </c>
      <c r="AB368" s="8" t="s">
        <v>2844</v>
      </c>
      <c r="AC368" s="9"/>
      <c r="AD368" s="10">
        <v>1</v>
      </c>
      <c r="AE368" s="31" t="s">
        <v>2845</v>
      </c>
    </row>
    <row r="369" spans="1:31" ht="12.75">
      <c r="A369" s="4" t="s">
        <v>2846</v>
      </c>
      <c r="B369" s="1" t="s">
        <v>5262</v>
      </c>
      <c r="C369" s="1" t="s">
        <v>2847</v>
      </c>
      <c r="D369" s="1" t="s">
        <v>2847</v>
      </c>
      <c r="E369" s="2">
        <v>795</v>
      </c>
      <c r="F369" s="2">
        <v>74</v>
      </c>
      <c r="G369" s="3" t="s">
        <v>2848</v>
      </c>
      <c r="H369" s="3" t="s">
        <v>2849</v>
      </c>
      <c r="I369" s="3" t="s">
        <v>2850</v>
      </c>
      <c r="J369" s="44" t="str">
        <f>HYPERLINK("https://www.centcols.org/util/geo/visuGen.php?code=FR-2A-0795a","FR-2A-0795a")</f>
        <v>FR-2A-0795a</v>
      </c>
      <c r="K369" s="3"/>
      <c r="L369" s="1" t="s">
        <v>5176</v>
      </c>
      <c r="M369" s="8">
        <v>99</v>
      </c>
      <c r="N369" s="8">
        <v>15</v>
      </c>
      <c r="O369" s="4"/>
      <c r="P369" s="3"/>
      <c r="Q369" s="3" t="s">
        <v>2851</v>
      </c>
      <c r="R369" s="3" t="s">
        <v>2852</v>
      </c>
      <c r="S369" s="25">
        <v>9.078093</v>
      </c>
      <c r="T369" s="25">
        <v>41.764952</v>
      </c>
      <c r="U369" s="2">
        <v>32</v>
      </c>
      <c r="V369" s="3">
        <v>506491</v>
      </c>
      <c r="W369" s="3">
        <v>4623683</v>
      </c>
      <c r="X369" s="25">
        <v>7.490289</v>
      </c>
      <c r="Y369" s="25">
        <v>46.405401</v>
      </c>
      <c r="Z369" s="6"/>
      <c r="AA369" s="7" t="s">
        <v>5138</v>
      </c>
      <c r="AB369" s="8">
        <v>2017</v>
      </c>
      <c r="AC369" s="9"/>
      <c r="AD369" s="10"/>
      <c r="AE369" s="31" t="s">
        <v>2853</v>
      </c>
    </row>
    <row r="370" spans="1:31" ht="12.75">
      <c r="A370" s="4" t="s">
        <v>2854</v>
      </c>
      <c r="B370" s="1" t="s">
        <v>2855</v>
      </c>
      <c r="C370" s="1" t="s">
        <v>2856</v>
      </c>
      <c r="D370" s="1" t="s">
        <v>2857</v>
      </c>
      <c r="E370" s="2">
        <v>805</v>
      </c>
      <c r="F370" s="2">
        <v>74</v>
      </c>
      <c r="G370" s="3" t="s">
        <v>2808</v>
      </c>
      <c r="H370" s="3" t="s">
        <v>2858</v>
      </c>
      <c r="I370" s="3" t="s">
        <v>2859</v>
      </c>
      <c r="J370" s="44" t="str">
        <f>HYPERLINK("https://www.centcols.org/util/geo/visuGen.php?code=FR-2A-0805c","FR-2A-0805c")</f>
        <v>FR-2A-0805c</v>
      </c>
      <c r="K370" s="3"/>
      <c r="L370" s="1" t="s">
        <v>5176</v>
      </c>
      <c r="M370" s="8">
        <v>99</v>
      </c>
      <c r="N370" s="8">
        <v>15</v>
      </c>
      <c r="O370" s="4"/>
      <c r="P370" s="3"/>
      <c r="Q370" s="3" t="s">
        <v>2860</v>
      </c>
      <c r="R370" s="3" t="s">
        <v>2861</v>
      </c>
      <c r="S370" s="25">
        <v>9.149717</v>
      </c>
      <c r="T370" s="25">
        <v>41.631351</v>
      </c>
      <c r="U370" s="2">
        <v>32</v>
      </c>
      <c r="V370" s="3">
        <v>512471</v>
      </c>
      <c r="W370" s="3">
        <v>4608858</v>
      </c>
      <c r="X370" s="25">
        <v>7.569869</v>
      </c>
      <c r="Y370" s="25">
        <v>46.257</v>
      </c>
      <c r="Z370" s="6"/>
      <c r="AA370" s="7" t="s">
        <v>5138</v>
      </c>
      <c r="AB370" s="8">
        <v>2015</v>
      </c>
      <c r="AC370" s="9">
        <v>42045</v>
      </c>
      <c r="AD370" s="10"/>
      <c r="AE370" s="31" t="s">
        <v>2862</v>
      </c>
    </row>
    <row r="371" spans="1:31" ht="12.75">
      <c r="A371" s="4" t="s">
        <v>2863</v>
      </c>
      <c r="B371" s="1" t="s">
        <v>5128</v>
      </c>
      <c r="C371" s="1" t="s">
        <v>2864</v>
      </c>
      <c r="D371" s="1" t="s">
        <v>2865</v>
      </c>
      <c r="E371" s="2">
        <v>935</v>
      </c>
      <c r="F371" s="2">
        <v>73</v>
      </c>
      <c r="G371" s="3" t="s">
        <v>2866</v>
      </c>
      <c r="H371" s="3" t="s">
        <v>2867</v>
      </c>
      <c r="I371" s="3" t="s">
        <v>2868</v>
      </c>
      <c r="J371" s="44" t="str">
        <f>HYPERLINK("https://www.centcols.org/util/geo/visuGen.php?code=FR-2A-0935b","FR-2A-0935b")</f>
        <v>FR-2A-0935b</v>
      </c>
      <c r="K371" s="3"/>
      <c r="L371" s="1"/>
      <c r="M371" s="8">
        <v>99</v>
      </c>
      <c r="N371" s="8">
        <v>20</v>
      </c>
      <c r="O371" s="4"/>
      <c r="P371" s="3"/>
      <c r="Q371" s="3" t="s">
        <v>2869</v>
      </c>
      <c r="R371" s="3" t="s">
        <v>2870</v>
      </c>
      <c r="S371" s="25">
        <v>8.759795</v>
      </c>
      <c r="T371" s="25">
        <v>42.23961</v>
      </c>
      <c r="U371" s="2">
        <v>32</v>
      </c>
      <c r="V371" s="3">
        <v>480182</v>
      </c>
      <c r="W371" s="3">
        <v>4676408</v>
      </c>
      <c r="X371" s="25">
        <v>7.136639</v>
      </c>
      <c r="Y371" s="25">
        <v>46.932813</v>
      </c>
      <c r="Z371" s="6"/>
      <c r="AA371" s="7" t="s">
        <v>5138</v>
      </c>
      <c r="AB371" s="8">
        <v>2016</v>
      </c>
      <c r="AC371" s="9">
        <v>42593</v>
      </c>
      <c r="AD371" s="10"/>
      <c r="AE371" s="31" t="s">
        <v>2871</v>
      </c>
    </row>
    <row r="372" spans="1:31" ht="22.5">
      <c r="A372" s="4" t="s">
        <v>2872</v>
      </c>
      <c r="B372" s="1" t="s">
        <v>2873</v>
      </c>
      <c r="C372" s="1" t="s">
        <v>2874</v>
      </c>
      <c r="D372" s="1" t="s">
        <v>2875</v>
      </c>
      <c r="E372" s="2">
        <v>1005</v>
      </c>
      <c r="F372" s="2">
        <v>74</v>
      </c>
      <c r="G372" s="3" t="s">
        <v>2789</v>
      </c>
      <c r="H372" s="3" t="s">
        <v>2876</v>
      </c>
      <c r="I372" s="3" t="s">
        <v>2877</v>
      </c>
      <c r="J372" s="44" t="str">
        <f>HYPERLINK("https://www.centcols.org/util/geo/visuGen.php?code=FR-2A-1005a","FR-2A-1005a")</f>
        <v>FR-2A-1005a</v>
      </c>
      <c r="K372" s="3"/>
      <c r="L372" s="1" t="s">
        <v>5176</v>
      </c>
      <c r="M372" s="8">
        <v>99</v>
      </c>
      <c r="N372" s="8">
        <v>15</v>
      </c>
      <c r="O372" s="4"/>
      <c r="P372" s="3"/>
      <c r="Q372" s="3" t="s">
        <v>2878</v>
      </c>
      <c r="R372" s="3" t="s">
        <v>2879</v>
      </c>
      <c r="S372" s="25">
        <v>9.186029</v>
      </c>
      <c r="T372" s="25">
        <v>41.685218</v>
      </c>
      <c r="U372" s="2">
        <v>32</v>
      </c>
      <c r="V372" s="3">
        <v>515482</v>
      </c>
      <c r="W372" s="3">
        <v>4614844</v>
      </c>
      <c r="X372" s="25">
        <v>7.610213</v>
      </c>
      <c r="Y372" s="25">
        <v>46.316806</v>
      </c>
      <c r="Z372" s="6"/>
      <c r="AA372" s="7" t="s">
        <v>5138</v>
      </c>
      <c r="AB372" s="8">
        <v>2015</v>
      </c>
      <c r="AC372" s="9">
        <v>42045</v>
      </c>
      <c r="AD372" s="10"/>
      <c r="AE372" s="31" t="s">
        <v>2880</v>
      </c>
    </row>
    <row r="373" spans="1:31" ht="22.5">
      <c r="A373" s="4" t="s">
        <v>2881</v>
      </c>
      <c r="B373" s="1" t="s">
        <v>2882</v>
      </c>
      <c r="C373" s="1" t="s">
        <v>2883</v>
      </c>
      <c r="D373" s="1" t="s">
        <v>2884</v>
      </c>
      <c r="E373" s="2">
        <v>1135</v>
      </c>
      <c r="F373" s="2">
        <v>74</v>
      </c>
      <c r="G373" s="3" t="s">
        <v>2829</v>
      </c>
      <c r="H373" s="3" t="s">
        <v>2885</v>
      </c>
      <c r="I373" s="3" t="s">
        <v>2886</v>
      </c>
      <c r="J373" s="44" t="str">
        <f>HYPERLINK("https://www.centcols.org/util/geo/visuGen.php?code=FR-2A-1135","FR-2A-1135")</f>
        <v>FR-2A-1135</v>
      </c>
      <c r="K373" s="3"/>
      <c r="L373" s="1"/>
      <c r="M373" s="8">
        <v>99</v>
      </c>
      <c r="N373" s="8">
        <v>20</v>
      </c>
      <c r="O373" s="4"/>
      <c r="P373" s="3"/>
      <c r="Q373" s="3" t="s">
        <v>2887</v>
      </c>
      <c r="R373" s="3" t="s">
        <v>2888</v>
      </c>
      <c r="S373" s="25">
        <v>9.129165781397385</v>
      </c>
      <c r="T373" s="25">
        <v>41.95546895862431</v>
      </c>
      <c r="U373" s="2">
        <v>32</v>
      </c>
      <c r="V373" s="3">
        <v>510705</v>
      </c>
      <c r="W373" s="3">
        <v>4644840</v>
      </c>
      <c r="X373" s="25">
        <v>7.547034898183898</v>
      </c>
      <c r="Y373" s="25">
        <v>46.61709225776989</v>
      </c>
      <c r="Z373" s="6"/>
      <c r="AA373" s="7" t="s">
        <v>5138</v>
      </c>
      <c r="AB373" s="8" t="s">
        <v>6200</v>
      </c>
      <c r="AC373" s="9">
        <v>41386</v>
      </c>
      <c r="AD373" s="10">
        <v>30</v>
      </c>
      <c r="AE373" s="31" t="s">
        <v>2889</v>
      </c>
    </row>
    <row r="374" spans="1:31" ht="12.75">
      <c r="A374" s="4" t="s">
        <v>2890</v>
      </c>
      <c r="B374" s="1" t="s">
        <v>5262</v>
      </c>
      <c r="C374" s="1" t="s">
        <v>2891</v>
      </c>
      <c r="D374" s="1" t="s">
        <v>2891</v>
      </c>
      <c r="E374" s="2">
        <v>1227</v>
      </c>
      <c r="F374" s="2">
        <v>74</v>
      </c>
      <c r="G374" s="3" t="s">
        <v>2829</v>
      </c>
      <c r="H374" s="3" t="s">
        <v>2892</v>
      </c>
      <c r="I374" s="3" t="s">
        <v>2893</v>
      </c>
      <c r="J374" s="44" t="str">
        <f>HYPERLINK("https://www.centcols.org/util/geo/visuGen.php?code=FR-2A-1227","FR-2A-1227")</f>
        <v>FR-2A-1227</v>
      </c>
      <c r="K374" s="3"/>
      <c r="L374" s="1" t="s">
        <v>5726</v>
      </c>
      <c r="M374" s="8">
        <v>99</v>
      </c>
      <c r="N374" s="8">
        <v>15</v>
      </c>
      <c r="O374" s="4"/>
      <c r="P374" s="3"/>
      <c r="Q374" s="3" t="s">
        <v>2894</v>
      </c>
      <c r="R374" s="3" t="s">
        <v>2895</v>
      </c>
      <c r="S374" s="25">
        <v>9.063318</v>
      </c>
      <c r="T374" s="25">
        <v>42.062182</v>
      </c>
      <c r="U374" s="2">
        <v>32</v>
      </c>
      <c r="V374" s="3">
        <v>505239</v>
      </c>
      <c r="W374" s="3">
        <v>4656682</v>
      </c>
      <c r="X374" s="25">
        <v>7.473874</v>
      </c>
      <c r="Y374" s="25">
        <v>46.735665</v>
      </c>
      <c r="Z374" s="6"/>
      <c r="AA374" s="7" t="s">
        <v>5138</v>
      </c>
      <c r="AB374" s="8">
        <v>2016</v>
      </c>
      <c r="AC374" s="9">
        <v>42593</v>
      </c>
      <c r="AD374" s="10"/>
      <c r="AE374" s="31" t="s">
        <v>2896</v>
      </c>
    </row>
    <row r="375" spans="1:31" ht="12.75">
      <c r="A375" s="4" t="s">
        <v>2897</v>
      </c>
      <c r="B375" s="1" t="s">
        <v>2898</v>
      </c>
      <c r="C375" s="1" t="s">
        <v>2899</v>
      </c>
      <c r="D375" s="1" t="s">
        <v>2900</v>
      </c>
      <c r="E375" s="2">
        <v>1250</v>
      </c>
      <c r="F375" s="2">
        <v>74</v>
      </c>
      <c r="G375" s="3" t="s">
        <v>2848</v>
      </c>
      <c r="H375" s="3" t="s">
        <v>2901</v>
      </c>
      <c r="I375" s="3" t="s">
        <v>2902</v>
      </c>
      <c r="J375" s="44" t="str">
        <f>HYPERLINK("https://www.centcols.org/util/geo/visuGen.php?code=FR-2A-1305a","FR-2A-1305a")</f>
        <v>FR-2A-1305a</v>
      </c>
      <c r="K375" s="3"/>
      <c r="L375" s="1" t="s">
        <v>5746</v>
      </c>
      <c r="M375" s="8">
        <v>99</v>
      </c>
      <c r="N375" s="8">
        <v>20</v>
      </c>
      <c r="O375" s="4"/>
      <c r="P375" s="3"/>
      <c r="Q375" s="3" t="s">
        <v>2903</v>
      </c>
      <c r="R375" s="3" t="s">
        <v>2904</v>
      </c>
      <c r="S375" s="25">
        <v>9.067456</v>
      </c>
      <c r="T375" s="25">
        <v>41.926262</v>
      </c>
      <c r="U375" s="2">
        <v>32</v>
      </c>
      <c r="V375" s="3">
        <v>505593</v>
      </c>
      <c r="W375" s="3">
        <v>4641591</v>
      </c>
      <c r="X375" s="25">
        <v>7.478471</v>
      </c>
      <c r="Y375" s="25">
        <v>46.58464</v>
      </c>
      <c r="Z375" s="6"/>
      <c r="AA375" s="7" t="s">
        <v>5176</v>
      </c>
      <c r="AB375" s="8" t="s">
        <v>6200</v>
      </c>
      <c r="AC375" s="9">
        <v>41633</v>
      </c>
      <c r="AD375" s="10"/>
      <c r="AE375" s="31" t="s">
        <v>2905</v>
      </c>
    </row>
    <row r="376" spans="1:31" ht="12.75">
      <c r="A376" s="18" t="s">
        <v>2906</v>
      </c>
      <c r="B376" s="62" t="s">
        <v>5935</v>
      </c>
      <c r="C376" s="62" t="s">
        <v>2907</v>
      </c>
      <c r="D376" s="62" t="s">
        <v>2908</v>
      </c>
      <c r="E376" s="24">
        <v>2092</v>
      </c>
      <c r="F376" s="24">
        <v>73</v>
      </c>
      <c r="G376" s="24" t="s">
        <v>2909</v>
      </c>
      <c r="H376" s="24" t="s">
        <v>2910</v>
      </c>
      <c r="I376" s="24" t="s">
        <v>2911</v>
      </c>
      <c r="J376" s="44" t="str">
        <f>HYPERLINK("https://www.centcols.org/util/geo/visuGen.php?code=FR-2A-2092","FR-2A-2092")</f>
        <v>FR-2A-2092</v>
      </c>
      <c r="K376" s="63"/>
      <c r="L376" s="20" t="s">
        <v>2912</v>
      </c>
      <c r="M376" s="24">
        <v>99</v>
      </c>
      <c r="N376" s="19">
        <v>15</v>
      </c>
      <c r="O376" s="51"/>
      <c r="P376" s="24" t="s">
        <v>2913</v>
      </c>
      <c r="Q376" s="24" t="s">
        <v>2914</v>
      </c>
      <c r="R376" s="24" t="s">
        <v>6954</v>
      </c>
      <c r="S376" s="25">
        <v>9.011848</v>
      </c>
      <c r="T376" s="25">
        <v>42.208321</v>
      </c>
      <c r="U376" s="24">
        <v>32</v>
      </c>
      <c r="V376" s="3">
        <v>500978</v>
      </c>
      <c r="W376" s="3">
        <v>4672906</v>
      </c>
      <c r="X376" s="25">
        <v>7.416688</v>
      </c>
      <c r="Y376" s="25">
        <v>46.898045</v>
      </c>
      <c r="Z376" s="61"/>
      <c r="AA376" s="54" t="s">
        <v>5138</v>
      </c>
      <c r="AB376" s="54">
        <v>2019</v>
      </c>
      <c r="AC376" s="60">
        <v>43525</v>
      </c>
      <c r="AD376" s="54"/>
      <c r="AE376" s="61" t="s">
        <v>2915</v>
      </c>
    </row>
    <row r="377" spans="1:31" ht="12.75">
      <c r="A377" s="18" t="s">
        <v>2916</v>
      </c>
      <c r="B377" s="62" t="s">
        <v>2917</v>
      </c>
      <c r="C377" s="62" t="s">
        <v>2918</v>
      </c>
      <c r="D377" s="62" t="s">
        <v>2919</v>
      </c>
      <c r="E377" s="24">
        <v>100</v>
      </c>
      <c r="F377" s="24">
        <v>73</v>
      </c>
      <c r="G377" s="24" t="s">
        <v>2920</v>
      </c>
      <c r="H377" s="24" t="s">
        <v>2921</v>
      </c>
      <c r="I377" s="24" t="s">
        <v>2922</v>
      </c>
      <c r="J377" s="44" t="str">
        <f>HYPERLINK("https://www.centcols.org/util/geo/visuGen.php?code=FR-2B-0100","FR-2B-0100")</f>
        <v>FR-2B-0100</v>
      </c>
      <c r="K377" s="24" t="s">
        <v>2923</v>
      </c>
      <c r="L377" s="62" t="s">
        <v>2924</v>
      </c>
      <c r="M377" s="24">
        <v>0</v>
      </c>
      <c r="N377" s="24">
        <v>0</v>
      </c>
      <c r="O377" s="18"/>
      <c r="P377" s="19"/>
      <c r="Q377" s="24" t="s">
        <v>2925</v>
      </c>
      <c r="R377" s="24" t="s">
        <v>6955</v>
      </c>
      <c r="S377" s="25">
        <v>9.3432</v>
      </c>
      <c r="T377" s="25">
        <v>42.776638</v>
      </c>
      <c r="U377" s="24">
        <v>32</v>
      </c>
      <c r="V377" s="3">
        <v>528075</v>
      </c>
      <c r="W377" s="3">
        <v>4736068</v>
      </c>
      <c r="X377" s="25">
        <v>7.784851</v>
      </c>
      <c r="Y377" s="25">
        <v>47.529522</v>
      </c>
      <c r="Z377" s="18"/>
      <c r="AA377" s="19" t="s">
        <v>5176</v>
      </c>
      <c r="AB377" s="11">
        <v>2019</v>
      </c>
      <c r="AC377" s="60">
        <v>43525</v>
      </c>
      <c r="AD377" s="54"/>
      <c r="AE377" s="61" t="s">
        <v>2926</v>
      </c>
    </row>
    <row r="378" spans="1:31" ht="12.75">
      <c r="A378" s="4" t="s">
        <v>2927</v>
      </c>
      <c r="B378" s="1" t="s">
        <v>2917</v>
      </c>
      <c r="C378" s="1" t="s">
        <v>2928</v>
      </c>
      <c r="D378" s="1" t="s">
        <v>2929</v>
      </c>
      <c r="E378" s="2">
        <v>275</v>
      </c>
      <c r="F378" s="2">
        <v>73</v>
      </c>
      <c r="G378" s="3" t="s">
        <v>2930</v>
      </c>
      <c r="H378" s="3" t="s">
        <v>2931</v>
      </c>
      <c r="I378" s="3" t="s">
        <v>2932</v>
      </c>
      <c r="J378" s="44" t="str">
        <f>HYPERLINK("https://www.centcols.org/util/geo/visuGen.php?code=FR-2B-0275a","FR-2B-0275a")</f>
        <v>FR-2B-0275a</v>
      </c>
      <c r="K378" s="3"/>
      <c r="L378" s="1" t="s">
        <v>5138</v>
      </c>
      <c r="M378" s="8">
        <v>99</v>
      </c>
      <c r="N378" s="8">
        <v>10</v>
      </c>
      <c r="O378" s="4"/>
      <c r="P378" s="3"/>
      <c r="Q378" s="3" t="s">
        <v>2933</v>
      </c>
      <c r="R378" s="3" t="s">
        <v>2934</v>
      </c>
      <c r="S378" s="25">
        <v>9.055786595280722</v>
      </c>
      <c r="T378" s="25">
        <v>42.614243983308725</v>
      </c>
      <c r="U378" s="2">
        <v>32</v>
      </c>
      <c r="V378" s="3">
        <v>504575</v>
      </c>
      <c r="W378" s="3">
        <v>4717980</v>
      </c>
      <c r="X378" s="25">
        <v>7.465510528390014</v>
      </c>
      <c r="Y378" s="25">
        <v>47.34908138650582</v>
      </c>
      <c r="Z378" s="6"/>
      <c r="AA378" s="7" t="s">
        <v>5138</v>
      </c>
      <c r="AB378" s="8" t="s">
        <v>5571</v>
      </c>
      <c r="AC378" s="9">
        <v>41220</v>
      </c>
      <c r="AD378" s="10">
        <v>1</v>
      </c>
      <c r="AE378" s="31" t="s">
        <v>2935</v>
      </c>
    </row>
    <row r="379" spans="1:31" ht="12.75">
      <c r="A379" s="4" t="s">
        <v>2936</v>
      </c>
      <c r="B379" s="1" t="s">
        <v>2917</v>
      </c>
      <c r="C379" s="1" t="s">
        <v>2937</v>
      </c>
      <c r="D379" s="1" t="s">
        <v>2938</v>
      </c>
      <c r="E379" s="2">
        <v>396</v>
      </c>
      <c r="F379" s="2">
        <v>73</v>
      </c>
      <c r="G379" s="3" t="s">
        <v>2939</v>
      </c>
      <c r="H379" s="3" t="s">
        <v>2940</v>
      </c>
      <c r="I379" s="3" t="s">
        <v>2941</v>
      </c>
      <c r="J379" s="44" t="str">
        <f>HYPERLINK("https://www.centcols.org/util/geo/visuGen.php?code=FR-2B-0396","FR-2B-0396")</f>
        <v>FR-2B-0396</v>
      </c>
      <c r="K379" s="3"/>
      <c r="L379" s="1" t="s">
        <v>5176</v>
      </c>
      <c r="M379" s="8">
        <v>99</v>
      </c>
      <c r="N379" s="8">
        <v>15</v>
      </c>
      <c r="O379" s="4"/>
      <c r="P379" s="3"/>
      <c r="Q379" s="3" t="s">
        <v>2942</v>
      </c>
      <c r="R379" s="3" t="s">
        <v>2943</v>
      </c>
      <c r="S379" s="25">
        <v>9.18416</v>
      </c>
      <c r="T379" s="25">
        <v>42.466287</v>
      </c>
      <c r="U379" s="2">
        <v>32</v>
      </c>
      <c r="V379" s="3">
        <v>515140</v>
      </c>
      <c r="W379" s="3">
        <v>4701566</v>
      </c>
      <c r="X379" s="25">
        <v>7.608141</v>
      </c>
      <c r="Y379" s="25">
        <v>47.18468</v>
      </c>
      <c r="Z379" s="6"/>
      <c r="AA379" s="7" t="s">
        <v>5176</v>
      </c>
      <c r="AB379" s="8" t="s">
        <v>5571</v>
      </c>
      <c r="AC379" s="9"/>
      <c r="AD379" s="10">
        <v>1</v>
      </c>
      <c r="AE379" s="31" t="s">
        <v>2944</v>
      </c>
    </row>
    <row r="380" spans="1:31" ht="12.75">
      <c r="A380" s="4" t="s">
        <v>2945</v>
      </c>
      <c r="B380" s="1" t="s">
        <v>2946</v>
      </c>
      <c r="C380" s="1" t="s">
        <v>2947</v>
      </c>
      <c r="D380" s="1" t="s">
        <v>2948</v>
      </c>
      <c r="E380" s="2">
        <v>475</v>
      </c>
      <c r="F380" s="2">
        <v>73</v>
      </c>
      <c r="G380" s="3" t="s">
        <v>2930</v>
      </c>
      <c r="H380" s="3" t="s">
        <v>2949</v>
      </c>
      <c r="I380" s="3" t="s">
        <v>2950</v>
      </c>
      <c r="J380" s="44" t="str">
        <f>HYPERLINK("https://www.centcols.org/util/geo/visuGen.php?code=FR-2B-0475","FR-2B-0475")</f>
        <v>FR-2B-0475</v>
      </c>
      <c r="K380" s="3"/>
      <c r="L380" s="1" t="s">
        <v>5176</v>
      </c>
      <c r="M380" s="8">
        <v>99</v>
      </c>
      <c r="N380" s="8">
        <v>15</v>
      </c>
      <c r="O380" s="4"/>
      <c r="P380" s="3"/>
      <c r="Q380" s="3" t="s">
        <v>2951</v>
      </c>
      <c r="R380" s="3" t="s">
        <v>2952</v>
      </c>
      <c r="S380" s="25">
        <v>9.13096183309993</v>
      </c>
      <c r="T380" s="25">
        <v>42.54997071401355</v>
      </c>
      <c r="U380" s="2">
        <v>32</v>
      </c>
      <c r="V380" s="3">
        <v>510752</v>
      </c>
      <c r="W380" s="3">
        <v>4710850</v>
      </c>
      <c r="X380" s="25">
        <v>7.54903480353242</v>
      </c>
      <c r="Y380" s="25">
        <v>47.277664176121334</v>
      </c>
      <c r="Z380" s="6"/>
      <c r="AA380" s="7" t="s">
        <v>5138</v>
      </c>
      <c r="AB380" s="8" t="s">
        <v>5571</v>
      </c>
      <c r="AC380" s="9">
        <v>41220</v>
      </c>
      <c r="AD380" s="10">
        <v>1</v>
      </c>
      <c r="AE380" s="31" t="s">
        <v>2953</v>
      </c>
    </row>
    <row r="381" spans="1:31" ht="12.75">
      <c r="A381" s="4" t="s">
        <v>2954</v>
      </c>
      <c r="B381" s="1" t="s">
        <v>5981</v>
      </c>
      <c r="C381" s="1" t="s">
        <v>2955</v>
      </c>
      <c r="D381" s="1" t="s">
        <v>2956</v>
      </c>
      <c r="E381" s="2">
        <v>550</v>
      </c>
      <c r="F381" s="2">
        <v>73</v>
      </c>
      <c r="G381" s="3" t="s">
        <v>2957</v>
      </c>
      <c r="H381" s="3" t="s">
        <v>2958</v>
      </c>
      <c r="I381" s="3" t="s">
        <v>2959</v>
      </c>
      <c r="J381" s="44" t="str">
        <f>HYPERLINK("https://www.centcols.org/util/geo/visuGen.php?code=FR-2B-0550b","FR-2B-0550b")</f>
        <v>FR-2B-0550b</v>
      </c>
      <c r="K381" s="3"/>
      <c r="L381" s="1" t="s">
        <v>5726</v>
      </c>
      <c r="M381" s="8">
        <v>99</v>
      </c>
      <c r="N381" s="8">
        <v>15</v>
      </c>
      <c r="O381" s="4"/>
      <c r="P381" s="3"/>
      <c r="Q381" s="3" t="s">
        <v>2960</v>
      </c>
      <c r="R381" s="3" t="s">
        <v>2961</v>
      </c>
      <c r="S381" s="25">
        <v>9.470896194854003</v>
      </c>
      <c r="T381" s="25">
        <v>42.40654652464899</v>
      </c>
      <c r="U381" s="2">
        <v>32</v>
      </c>
      <c r="V381" s="3">
        <v>538749</v>
      </c>
      <c r="W381" s="3">
        <v>4695024</v>
      </c>
      <c r="X381" s="25">
        <v>7.9267235422686335</v>
      </c>
      <c r="Y381" s="25">
        <v>47.118298541928</v>
      </c>
      <c r="Z381" s="6"/>
      <c r="AA381" s="7" t="s">
        <v>5138</v>
      </c>
      <c r="AB381" s="8">
        <v>2005</v>
      </c>
      <c r="AC381" s="9"/>
      <c r="AD381" s="10">
        <v>1</v>
      </c>
      <c r="AE381" s="31" t="s">
        <v>2962</v>
      </c>
    </row>
    <row r="382" spans="1:31" ht="12.75">
      <c r="A382" s="4" t="s">
        <v>2963</v>
      </c>
      <c r="B382" s="1" t="s">
        <v>6139</v>
      </c>
      <c r="C382" s="1" t="s">
        <v>2964</v>
      </c>
      <c r="D382" s="1" t="s">
        <v>2965</v>
      </c>
      <c r="E382" s="2">
        <v>560</v>
      </c>
      <c r="F382" s="2">
        <v>73</v>
      </c>
      <c r="G382" s="3" t="s">
        <v>2957</v>
      </c>
      <c r="H382" s="3" t="s">
        <v>2966</v>
      </c>
      <c r="I382" s="3" t="s">
        <v>2967</v>
      </c>
      <c r="J382" s="44" t="str">
        <f>HYPERLINK("https://www.centcols.org/util/geo/visuGen.php?code=FR-2B-0560","FR-2B-0560")</f>
        <v>FR-2B-0560</v>
      </c>
      <c r="K382" s="3"/>
      <c r="L382" s="1"/>
      <c r="M382" s="8">
        <v>99</v>
      </c>
      <c r="N382" s="8">
        <v>20</v>
      </c>
      <c r="O382" s="4"/>
      <c r="P382" s="3"/>
      <c r="Q382" s="3" t="s">
        <v>2968</v>
      </c>
      <c r="R382" s="3" t="s">
        <v>2969</v>
      </c>
      <c r="S382" s="25">
        <v>9.481596781723601</v>
      </c>
      <c r="T382" s="25">
        <v>42.36178381166697</v>
      </c>
      <c r="U382" s="2">
        <v>32</v>
      </c>
      <c r="V382" s="3">
        <v>539658</v>
      </c>
      <c r="W382" s="3">
        <v>4690058</v>
      </c>
      <c r="X382" s="25">
        <v>7.938612342818305</v>
      </c>
      <c r="Y382" s="25">
        <v>47.06856154338371</v>
      </c>
      <c r="Z382" s="6"/>
      <c r="AA382" s="7" t="s">
        <v>5138</v>
      </c>
      <c r="AB382" s="8" t="s">
        <v>5571</v>
      </c>
      <c r="AC382" s="9">
        <v>41387</v>
      </c>
      <c r="AD382" s="10">
        <v>31</v>
      </c>
      <c r="AE382" s="31" t="s">
        <v>2970</v>
      </c>
    </row>
    <row r="383" spans="1:31" ht="12.75">
      <c r="A383" s="4" t="s">
        <v>2971</v>
      </c>
      <c r="B383" s="1" t="s">
        <v>2972</v>
      </c>
      <c r="C383" s="1" t="s">
        <v>2973</v>
      </c>
      <c r="D383" s="1" t="s">
        <v>2974</v>
      </c>
      <c r="E383" s="2">
        <v>865</v>
      </c>
      <c r="F383" s="2">
        <v>73</v>
      </c>
      <c r="G383" s="3" t="s">
        <v>2975</v>
      </c>
      <c r="H383" s="3" t="s">
        <v>2976</v>
      </c>
      <c r="I383" s="3" t="s">
        <v>2977</v>
      </c>
      <c r="J383" s="44" t="str">
        <f>HYPERLINK("https://www.centcols.org/util/geo/visuGen.php?code=FR-2B-0865b","FR-2B-0865b")</f>
        <v>FR-2B-0865b</v>
      </c>
      <c r="K383" s="3"/>
      <c r="L383" s="1" t="s">
        <v>5176</v>
      </c>
      <c r="M383" s="8">
        <v>99</v>
      </c>
      <c r="N383" s="8">
        <v>15</v>
      </c>
      <c r="O383" s="4"/>
      <c r="P383" s="3"/>
      <c r="Q383" s="3" t="s">
        <v>2978</v>
      </c>
      <c r="R383" s="3" t="s">
        <v>2979</v>
      </c>
      <c r="S383" s="25">
        <v>9.443758</v>
      </c>
      <c r="T383" s="25">
        <v>42.258467</v>
      </c>
      <c r="U383" s="2">
        <v>32</v>
      </c>
      <c r="V383" s="3">
        <v>536602</v>
      </c>
      <c r="W383" s="3">
        <v>4678570</v>
      </c>
      <c r="X383" s="25">
        <v>7.896571</v>
      </c>
      <c r="Y383" s="25">
        <v>46.953763</v>
      </c>
      <c r="Z383" s="6"/>
      <c r="AA383" s="7" t="s">
        <v>5138</v>
      </c>
      <c r="AB383" s="8">
        <v>2015</v>
      </c>
      <c r="AC383" s="9">
        <v>42045</v>
      </c>
      <c r="AD383" s="10"/>
      <c r="AE383" s="31" t="s">
        <v>2980</v>
      </c>
    </row>
    <row r="384" spans="1:31" ht="12.75">
      <c r="A384" s="4" t="s">
        <v>2981</v>
      </c>
      <c r="B384" s="1" t="s">
        <v>2982</v>
      </c>
      <c r="C384" s="1" t="s">
        <v>2983</v>
      </c>
      <c r="D384" s="1" t="s">
        <v>2984</v>
      </c>
      <c r="E384" s="2">
        <v>1095</v>
      </c>
      <c r="F384" s="2">
        <v>73</v>
      </c>
      <c r="G384" s="3" t="s">
        <v>2985</v>
      </c>
      <c r="H384" s="3" t="s">
        <v>2986</v>
      </c>
      <c r="I384" s="3" t="s">
        <v>2987</v>
      </c>
      <c r="J384" s="44" t="str">
        <f>HYPERLINK("https://www.centcols.org/util/geo/visuGen.php?code=FR-2B-1095a","FR-2B-1095a")</f>
        <v>FR-2B-1095a</v>
      </c>
      <c r="K384" s="3"/>
      <c r="L384" s="1" t="s">
        <v>5746</v>
      </c>
      <c r="M384" s="8">
        <v>99</v>
      </c>
      <c r="N384" s="8">
        <v>20</v>
      </c>
      <c r="O384" s="4"/>
      <c r="P384" s="3"/>
      <c r="Q384" s="3" t="s">
        <v>2988</v>
      </c>
      <c r="R384" s="3" t="s">
        <v>2989</v>
      </c>
      <c r="S384" s="25">
        <v>8.801035</v>
      </c>
      <c r="T384" s="25">
        <v>42.444957</v>
      </c>
      <c r="U384" s="2">
        <v>32</v>
      </c>
      <c r="V384" s="3">
        <v>483637</v>
      </c>
      <c r="W384" s="3">
        <v>4699200</v>
      </c>
      <c r="X384" s="25">
        <v>7.182462</v>
      </c>
      <c r="Y384" s="25">
        <v>47.160983</v>
      </c>
      <c r="Z384" s="6"/>
      <c r="AA384" s="7" t="s">
        <v>5176</v>
      </c>
      <c r="AB384" s="8" t="s">
        <v>5571</v>
      </c>
      <c r="AC384" s="9">
        <v>41204</v>
      </c>
      <c r="AD384" s="10">
        <v>1</v>
      </c>
      <c r="AE384" s="31" t="s">
        <v>2990</v>
      </c>
    </row>
    <row r="385" spans="1:31" ht="12.75">
      <c r="A385" s="4" t="s">
        <v>2991</v>
      </c>
      <c r="B385" s="1" t="s">
        <v>5815</v>
      </c>
      <c r="C385" s="1" t="s">
        <v>2992</v>
      </c>
      <c r="D385" s="1" t="s">
        <v>2993</v>
      </c>
      <c r="E385" s="2">
        <v>50</v>
      </c>
      <c r="F385" s="2">
        <v>66</v>
      </c>
      <c r="G385" s="3" t="s">
        <v>2994</v>
      </c>
      <c r="H385" s="3" t="s">
        <v>2995</v>
      </c>
      <c r="I385" s="3" t="s">
        <v>2996</v>
      </c>
      <c r="J385" s="44" t="str">
        <f>HYPERLINK("https://www.centcols.org/util/geo/visuGen.php?code=FR-30-0050","FR-30-0050")</f>
        <v>FR-30-0050</v>
      </c>
      <c r="K385" s="3" t="s">
        <v>2997</v>
      </c>
      <c r="L385" s="1" t="s">
        <v>2998</v>
      </c>
      <c r="M385" s="8">
        <v>0</v>
      </c>
      <c r="N385" s="8">
        <v>0</v>
      </c>
      <c r="O385" s="4"/>
      <c r="P385" s="3"/>
      <c r="Q385" s="3" t="s">
        <v>2999</v>
      </c>
      <c r="R385" s="3" t="s">
        <v>3000</v>
      </c>
      <c r="S385" s="25">
        <v>4.531944</v>
      </c>
      <c r="T385" s="25">
        <v>43.956279</v>
      </c>
      <c r="U385" s="2">
        <v>31</v>
      </c>
      <c r="V385" s="3">
        <v>622913</v>
      </c>
      <c r="W385" s="3">
        <v>4868158</v>
      </c>
      <c r="X385" s="25">
        <v>2.439211</v>
      </c>
      <c r="Y385" s="25">
        <v>48.840308</v>
      </c>
      <c r="Z385" s="6"/>
      <c r="AA385" s="7" t="s">
        <v>5138</v>
      </c>
      <c r="AB385" s="8">
        <v>2016</v>
      </c>
      <c r="AC385" s="9">
        <v>42593</v>
      </c>
      <c r="AD385" s="10"/>
      <c r="AE385" s="31" t="s">
        <v>3001</v>
      </c>
    </row>
    <row r="386" spans="1:31" ht="12.75">
      <c r="A386" s="4" t="s">
        <v>3002</v>
      </c>
      <c r="B386" s="1" t="s">
        <v>5262</v>
      </c>
      <c r="C386" s="1" t="s">
        <v>4424</v>
      </c>
      <c r="D386" s="1" t="s">
        <v>4424</v>
      </c>
      <c r="E386" s="2">
        <v>68</v>
      </c>
      <c r="F386" s="2">
        <v>66</v>
      </c>
      <c r="G386" s="3" t="s">
        <v>3003</v>
      </c>
      <c r="H386" s="3" t="s">
        <v>3004</v>
      </c>
      <c r="I386" s="3" t="s">
        <v>3005</v>
      </c>
      <c r="J386" s="44" t="str">
        <f>HYPERLINK("https://www.centcols.org/util/geo/visuGen.php?code=FR-30-0068","FR-30-0068")</f>
        <v>FR-30-0068</v>
      </c>
      <c r="K386" s="3" t="s">
        <v>3006</v>
      </c>
      <c r="L386" s="1" t="s">
        <v>3007</v>
      </c>
      <c r="M386" s="8">
        <v>0</v>
      </c>
      <c r="N386" s="8">
        <v>0</v>
      </c>
      <c r="O386" s="4"/>
      <c r="P386" s="3"/>
      <c r="Q386" s="3" t="s">
        <v>3008</v>
      </c>
      <c r="R386" s="3" t="s">
        <v>3009</v>
      </c>
      <c r="S386" s="25">
        <v>4.048479</v>
      </c>
      <c r="T386" s="25">
        <v>43.848169</v>
      </c>
      <c r="U386" s="2">
        <v>31</v>
      </c>
      <c r="V386" s="3">
        <v>584275</v>
      </c>
      <c r="W386" s="3">
        <v>4855544</v>
      </c>
      <c r="X386" s="25">
        <v>1.902046</v>
      </c>
      <c r="Y386" s="25">
        <v>48.720188</v>
      </c>
      <c r="Z386" s="6"/>
      <c r="AA386" s="7" t="s">
        <v>5138</v>
      </c>
      <c r="AB386" s="8">
        <v>2011</v>
      </c>
      <c r="AC386" s="9"/>
      <c r="AD386" s="10">
        <v>1</v>
      </c>
      <c r="AE386" s="31" t="s">
        <v>3010</v>
      </c>
    </row>
    <row r="387" spans="1:31" ht="12.75">
      <c r="A387" s="4" t="s">
        <v>3011</v>
      </c>
      <c r="B387" s="1" t="s">
        <v>5128</v>
      </c>
      <c r="C387" s="1" t="s">
        <v>3012</v>
      </c>
      <c r="D387" s="1" t="s">
        <v>3013</v>
      </c>
      <c r="E387" s="2">
        <v>72</v>
      </c>
      <c r="F387" s="2">
        <v>66</v>
      </c>
      <c r="G387" s="3" t="s">
        <v>3014</v>
      </c>
      <c r="H387" s="3" t="s">
        <v>3015</v>
      </c>
      <c r="I387" s="3" t="s">
        <v>3016</v>
      </c>
      <c r="J387" s="44" t="str">
        <f>HYPERLINK("https://www.centcols.org/util/geo/visuGen.php?code=FR-30-0072","FR-30-0072")</f>
        <v>FR-30-0072</v>
      </c>
      <c r="K387" s="3" t="s">
        <v>3017</v>
      </c>
      <c r="L387" s="1" t="s">
        <v>3018</v>
      </c>
      <c r="M387" s="8">
        <v>0</v>
      </c>
      <c r="N387" s="8">
        <v>0</v>
      </c>
      <c r="O387" s="4"/>
      <c r="P387" s="3"/>
      <c r="Q387" s="3" t="s">
        <v>3019</v>
      </c>
      <c r="R387" s="3" t="s">
        <v>3020</v>
      </c>
      <c r="S387" s="25">
        <v>4.706721</v>
      </c>
      <c r="T387" s="25">
        <v>43.915986</v>
      </c>
      <c r="U387" s="2">
        <v>31</v>
      </c>
      <c r="V387" s="3">
        <v>637029</v>
      </c>
      <c r="W387" s="3">
        <v>4863957</v>
      </c>
      <c r="X387" s="25">
        <v>2.6334</v>
      </c>
      <c r="Y387" s="25">
        <v>48.795533</v>
      </c>
      <c r="Z387" s="6"/>
      <c r="AA387" s="7" t="s">
        <v>5138</v>
      </c>
      <c r="AB387" s="8">
        <v>2016</v>
      </c>
      <c r="AC387" s="9">
        <v>42593</v>
      </c>
      <c r="AD387" s="10"/>
      <c r="AE387" s="31" t="s">
        <v>3021</v>
      </c>
    </row>
    <row r="388" spans="1:31" ht="12.75">
      <c r="A388" s="4" t="s">
        <v>3022</v>
      </c>
      <c r="B388" s="1" t="s">
        <v>5128</v>
      </c>
      <c r="C388" s="1" t="s">
        <v>3023</v>
      </c>
      <c r="D388" s="1" t="s">
        <v>3024</v>
      </c>
      <c r="E388" s="2">
        <v>150</v>
      </c>
      <c r="F388" s="2">
        <v>66</v>
      </c>
      <c r="G388" s="3" t="s">
        <v>3003</v>
      </c>
      <c r="H388" s="3" t="s">
        <v>3025</v>
      </c>
      <c r="I388" s="3" t="s">
        <v>3026</v>
      </c>
      <c r="J388" s="44" t="str">
        <f>HYPERLINK("https://www.centcols.org/util/geo/visuGen.php?code=FR-30-0160a","FR-30-0160a")</f>
        <v>FR-30-0160a</v>
      </c>
      <c r="K388" s="3"/>
      <c r="L388" s="1" t="s">
        <v>5138</v>
      </c>
      <c r="M388" s="8">
        <v>35</v>
      </c>
      <c r="N388" s="8">
        <v>10</v>
      </c>
      <c r="O388" s="4"/>
      <c r="P388" s="3"/>
      <c r="Q388" s="3" t="s">
        <v>3027</v>
      </c>
      <c r="R388" s="3" t="s">
        <v>3028</v>
      </c>
      <c r="S388" s="25">
        <v>4.071577</v>
      </c>
      <c r="T388" s="25">
        <v>43.911425</v>
      </c>
      <c r="U388" s="2">
        <v>31</v>
      </c>
      <c r="V388" s="3">
        <v>586041</v>
      </c>
      <c r="W388" s="3">
        <v>4862593</v>
      </c>
      <c r="X388" s="25">
        <v>1.927711</v>
      </c>
      <c r="Y388" s="25">
        <v>48.790474</v>
      </c>
      <c r="Z388" s="6"/>
      <c r="AA388" s="7" t="s">
        <v>5138</v>
      </c>
      <c r="AB388" s="8">
        <v>2011</v>
      </c>
      <c r="AC388" s="9"/>
      <c r="AD388" s="10">
        <v>1</v>
      </c>
      <c r="AE388" s="31" t="s">
        <v>3029</v>
      </c>
    </row>
    <row r="389" spans="1:31" ht="12.75">
      <c r="A389" s="4" t="s">
        <v>3030</v>
      </c>
      <c r="B389" s="1" t="s">
        <v>5128</v>
      </c>
      <c r="C389" s="1" t="s">
        <v>3031</v>
      </c>
      <c r="D389" s="1" t="s">
        <v>3032</v>
      </c>
      <c r="E389" s="2">
        <v>185</v>
      </c>
      <c r="F389" s="2">
        <v>66</v>
      </c>
      <c r="G389" s="3" t="s">
        <v>3033</v>
      </c>
      <c r="H389" s="3" t="s">
        <v>3034</v>
      </c>
      <c r="I389" s="3" t="s">
        <v>3035</v>
      </c>
      <c r="J389" s="44" t="str">
        <f>HYPERLINK("https://www.centcols.org/util/geo/visuGen.php?code=FR-30-0185","FR-30-0185")</f>
        <v>FR-30-0185</v>
      </c>
      <c r="K389" s="3" t="s">
        <v>3036</v>
      </c>
      <c r="L389" s="1" t="s">
        <v>3037</v>
      </c>
      <c r="M389" s="8">
        <v>0</v>
      </c>
      <c r="N389" s="8">
        <v>0</v>
      </c>
      <c r="O389" s="4"/>
      <c r="P389" s="3"/>
      <c r="Q389" s="3" t="s">
        <v>3038</v>
      </c>
      <c r="R389" s="3" t="s">
        <v>3039</v>
      </c>
      <c r="S389" s="25">
        <v>4.14806</v>
      </c>
      <c r="T389" s="25">
        <v>43.93599</v>
      </c>
      <c r="U389" s="2">
        <v>31</v>
      </c>
      <c r="V389" s="3">
        <v>592144</v>
      </c>
      <c r="W389" s="3">
        <v>4865404</v>
      </c>
      <c r="X389" s="25">
        <v>2.012689</v>
      </c>
      <c r="Y389" s="25">
        <v>48.817767</v>
      </c>
      <c r="Z389" s="6"/>
      <c r="AA389" s="7" t="s">
        <v>5138</v>
      </c>
      <c r="AB389" s="8">
        <v>2015</v>
      </c>
      <c r="AC389" s="9">
        <v>42297</v>
      </c>
      <c r="AD389" s="10"/>
      <c r="AE389" s="31" t="s">
        <v>3001</v>
      </c>
    </row>
    <row r="390" spans="1:31" ht="12.75">
      <c r="A390" s="4" t="s">
        <v>3040</v>
      </c>
      <c r="B390" s="1" t="s">
        <v>3041</v>
      </c>
      <c r="C390" s="1" t="s">
        <v>3042</v>
      </c>
      <c r="D390" s="1" t="s">
        <v>3043</v>
      </c>
      <c r="E390" s="2">
        <v>228</v>
      </c>
      <c r="F390" s="2">
        <v>65</v>
      </c>
      <c r="G390" s="3" t="s">
        <v>3044</v>
      </c>
      <c r="H390" s="3" t="s">
        <v>3045</v>
      </c>
      <c r="I390" s="3" t="s">
        <v>3046</v>
      </c>
      <c r="J390" s="44" t="str">
        <f>HYPERLINK("https://www.centcols.org/util/geo/visuGen.php?code=FR-30-0228","FR-30-0228")</f>
        <v>FR-30-0228</v>
      </c>
      <c r="K390" s="3" t="s">
        <v>3047</v>
      </c>
      <c r="L390" s="1" t="s">
        <v>3048</v>
      </c>
      <c r="M390" s="8">
        <v>0</v>
      </c>
      <c r="N390" s="8">
        <v>0</v>
      </c>
      <c r="O390" s="4"/>
      <c r="P390" s="3"/>
      <c r="Q390" s="3" t="s">
        <v>3049</v>
      </c>
      <c r="R390" s="3" t="s">
        <v>3050</v>
      </c>
      <c r="S390" s="25">
        <v>3.759327</v>
      </c>
      <c r="T390" s="25">
        <v>43.946524</v>
      </c>
      <c r="U390" s="2">
        <v>31</v>
      </c>
      <c r="V390" s="3">
        <v>560933</v>
      </c>
      <c r="W390" s="3">
        <v>4866214</v>
      </c>
      <c r="X390" s="25">
        <v>1.580779</v>
      </c>
      <c r="Y390" s="25">
        <v>48.829476</v>
      </c>
      <c r="Z390" s="6"/>
      <c r="AA390" s="7" t="s">
        <v>5138</v>
      </c>
      <c r="AB390" s="8">
        <v>2018</v>
      </c>
      <c r="AC390" s="57">
        <v>43199</v>
      </c>
      <c r="AD390" s="10"/>
      <c r="AE390" s="31" t="s">
        <v>3051</v>
      </c>
    </row>
    <row r="391" spans="1:31" ht="12.75">
      <c r="A391" s="4" t="s">
        <v>3052</v>
      </c>
      <c r="B391" s="1" t="s">
        <v>5923</v>
      </c>
      <c r="C391" s="1" t="s">
        <v>3053</v>
      </c>
      <c r="D391" s="1" t="s">
        <v>3054</v>
      </c>
      <c r="E391" s="2">
        <v>460</v>
      </c>
      <c r="F391" s="2">
        <v>59</v>
      </c>
      <c r="G391" s="3" t="s">
        <v>3055</v>
      </c>
      <c r="H391" s="3" t="s">
        <v>3056</v>
      </c>
      <c r="I391" s="3" t="s">
        <v>3057</v>
      </c>
      <c r="J391" s="44" t="str">
        <f>HYPERLINK("https://www.centcols.org/util/geo/visuGen.php?code=FR-30-0460a","FR-30-0460a")</f>
        <v>FR-30-0460a</v>
      </c>
      <c r="K391" s="3" t="s">
        <v>3058</v>
      </c>
      <c r="L391" s="1" t="s">
        <v>3059</v>
      </c>
      <c r="M391" s="8">
        <v>0</v>
      </c>
      <c r="N391" s="8">
        <v>0</v>
      </c>
      <c r="O391" s="4"/>
      <c r="P391" s="3"/>
      <c r="Q391" s="3" t="s">
        <v>3060</v>
      </c>
      <c r="R391" s="3" t="s">
        <v>3061</v>
      </c>
      <c r="S391" s="25">
        <v>4.0900381663537155</v>
      </c>
      <c r="T391" s="25">
        <v>44.21363180595813</v>
      </c>
      <c r="U391" s="2">
        <v>31</v>
      </c>
      <c r="V391" s="3">
        <v>587079</v>
      </c>
      <c r="W391" s="3">
        <v>4896179</v>
      </c>
      <c r="X391" s="25">
        <v>1.9482262901845582</v>
      </c>
      <c r="Y391" s="25">
        <v>49.12626402039818</v>
      </c>
      <c r="Z391" s="6"/>
      <c r="AA391" s="7" t="s">
        <v>5138</v>
      </c>
      <c r="AB391" s="8" t="s">
        <v>6200</v>
      </c>
      <c r="AC391" s="9" t="s">
        <v>3062</v>
      </c>
      <c r="AD391" s="10">
        <v>33</v>
      </c>
      <c r="AE391" s="31" t="s">
        <v>3063</v>
      </c>
    </row>
    <row r="392" spans="1:31" ht="12.75">
      <c r="A392" s="4" t="s">
        <v>3064</v>
      </c>
      <c r="B392" s="1" t="s">
        <v>5262</v>
      </c>
      <c r="C392" s="1" t="s">
        <v>3065</v>
      </c>
      <c r="D392" s="1" t="s">
        <v>3066</v>
      </c>
      <c r="E392" s="2">
        <v>480</v>
      </c>
      <c r="F392" s="2">
        <v>59</v>
      </c>
      <c r="G392" s="3" t="s">
        <v>6349</v>
      </c>
      <c r="H392" s="3" t="s">
        <v>3067</v>
      </c>
      <c r="I392" s="3" t="s">
        <v>3068</v>
      </c>
      <c r="J392" s="44" t="str">
        <f>HYPERLINK("https://www.centcols.org/util/geo/visuGen.php?code=FR-30-0480","FR-30-0480")</f>
        <v>FR-30-0480</v>
      </c>
      <c r="K392" s="3" t="s">
        <v>3069</v>
      </c>
      <c r="L392" s="1" t="s">
        <v>5157</v>
      </c>
      <c r="M392" s="8">
        <v>0</v>
      </c>
      <c r="N392" s="8">
        <v>0</v>
      </c>
      <c r="O392" s="4"/>
      <c r="P392" s="3"/>
      <c r="Q392" s="3" t="s">
        <v>3070</v>
      </c>
      <c r="R392" s="3" t="s">
        <v>3071</v>
      </c>
      <c r="S392" s="25">
        <v>3.99341832085843</v>
      </c>
      <c r="T392" s="25">
        <v>44.28622736221121</v>
      </c>
      <c r="U392" s="2">
        <v>31</v>
      </c>
      <c r="V392" s="3">
        <v>579263</v>
      </c>
      <c r="W392" s="3">
        <v>4904144</v>
      </c>
      <c r="X392" s="25">
        <v>1.840875921257623</v>
      </c>
      <c r="Y392" s="25">
        <v>49.20692781634891</v>
      </c>
      <c r="Z392" s="6"/>
      <c r="AA392" s="7" t="s">
        <v>5138</v>
      </c>
      <c r="AB392" s="8">
        <v>2006</v>
      </c>
      <c r="AC392" s="9"/>
      <c r="AD392" s="10">
        <v>1</v>
      </c>
      <c r="AE392" s="31" t="s">
        <v>6409</v>
      </c>
    </row>
    <row r="393" spans="1:31" ht="12.75">
      <c r="A393" s="4" t="s">
        <v>3072</v>
      </c>
      <c r="B393" s="1" t="s">
        <v>3073</v>
      </c>
      <c r="C393" s="1" t="s">
        <v>3074</v>
      </c>
      <c r="D393" s="1" t="s">
        <v>3075</v>
      </c>
      <c r="E393" s="2">
        <v>495</v>
      </c>
      <c r="F393" s="2">
        <v>59</v>
      </c>
      <c r="G393" s="3" t="s">
        <v>6349</v>
      </c>
      <c r="H393" s="3" t="s">
        <v>3076</v>
      </c>
      <c r="I393" s="3" t="s">
        <v>3077</v>
      </c>
      <c r="J393" s="44" t="str">
        <f>HYPERLINK("https://www.centcols.org/util/geo/visuGen.php?code=FR-30-0495","FR-30-0495")</f>
        <v>FR-30-0495</v>
      </c>
      <c r="K393" s="3"/>
      <c r="L393" s="1" t="s">
        <v>6207</v>
      </c>
      <c r="M393" s="8">
        <v>35</v>
      </c>
      <c r="N393" s="8">
        <v>10</v>
      </c>
      <c r="O393" s="4"/>
      <c r="P393" s="3"/>
      <c r="Q393" s="3" t="s">
        <v>3078</v>
      </c>
      <c r="R393" s="3" t="s">
        <v>3079</v>
      </c>
      <c r="S393" s="25">
        <v>3.9865147582025684</v>
      </c>
      <c r="T393" s="25">
        <v>44.359285817214385</v>
      </c>
      <c r="U393" s="2">
        <v>31</v>
      </c>
      <c r="V393" s="3">
        <v>578614</v>
      </c>
      <c r="W393" s="3">
        <v>4912252</v>
      </c>
      <c r="X393" s="25">
        <v>1.8332062515667498</v>
      </c>
      <c r="Y393" s="25">
        <v>49.28810536419407</v>
      </c>
      <c r="Z393" s="6"/>
      <c r="AA393" s="7" t="s">
        <v>5138</v>
      </c>
      <c r="AB393" s="8" t="s">
        <v>5571</v>
      </c>
      <c r="AC393" s="9">
        <v>41278</v>
      </c>
      <c r="AD393" s="10">
        <v>11</v>
      </c>
      <c r="AE393" s="31" t="s">
        <v>3080</v>
      </c>
    </row>
    <row r="394" spans="1:31" ht="12.75">
      <c r="A394" s="4" t="s">
        <v>3081</v>
      </c>
      <c r="B394" s="1" t="s">
        <v>5128</v>
      </c>
      <c r="C394" s="1" t="s">
        <v>3082</v>
      </c>
      <c r="D394" s="1" t="s">
        <v>3083</v>
      </c>
      <c r="E394" s="2">
        <v>654</v>
      </c>
      <c r="F394" s="2">
        <v>59</v>
      </c>
      <c r="G394" s="3" t="s">
        <v>3044</v>
      </c>
      <c r="H394" s="3" t="s">
        <v>3084</v>
      </c>
      <c r="I394" s="3" t="s">
        <v>3085</v>
      </c>
      <c r="J394" s="44" t="str">
        <f>HYPERLINK("https://www.centcols.org/util/geo/visuGen.php?code=FR-30-0654","FR-30-0654")</f>
        <v>FR-30-0654</v>
      </c>
      <c r="K394" s="3" t="s">
        <v>3086</v>
      </c>
      <c r="L394" s="1" t="s">
        <v>5157</v>
      </c>
      <c r="M394" s="8">
        <v>0</v>
      </c>
      <c r="N394" s="8">
        <v>0</v>
      </c>
      <c r="O394" s="4"/>
      <c r="P394" s="3"/>
      <c r="Q394" s="3" t="s">
        <v>3087</v>
      </c>
      <c r="R394" s="3" t="s">
        <v>3088</v>
      </c>
      <c r="S394" s="25">
        <v>3.748622</v>
      </c>
      <c r="T394" s="25">
        <v>44.038755</v>
      </c>
      <c r="U394" s="2">
        <v>31</v>
      </c>
      <c r="V394" s="3">
        <v>559981</v>
      </c>
      <c r="W394" s="3">
        <v>4876450</v>
      </c>
      <c r="X394" s="25">
        <v>1.568887</v>
      </c>
      <c r="Y394" s="25">
        <v>48.931957</v>
      </c>
      <c r="Z394" s="6"/>
      <c r="AA394" s="7" t="s">
        <v>5138</v>
      </c>
      <c r="AB394" s="8" t="s">
        <v>5571</v>
      </c>
      <c r="AC394" s="9">
        <v>41214</v>
      </c>
      <c r="AD394" s="10">
        <v>1</v>
      </c>
      <c r="AE394" s="31" t="s">
        <v>3089</v>
      </c>
    </row>
    <row r="395" spans="1:31" ht="12.75">
      <c r="A395" s="4" t="s">
        <v>3090</v>
      </c>
      <c r="B395" s="1" t="s">
        <v>5128</v>
      </c>
      <c r="C395" s="1" t="s">
        <v>3091</v>
      </c>
      <c r="D395" s="1" t="s">
        <v>3092</v>
      </c>
      <c r="E395" s="2">
        <v>724</v>
      </c>
      <c r="F395" s="2">
        <v>65</v>
      </c>
      <c r="G395" s="3" t="s">
        <v>3093</v>
      </c>
      <c r="H395" s="3" t="s">
        <v>3094</v>
      </c>
      <c r="I395" s="3" t="s">
        <v>3095</v>
      </c>
      <c r="J395" s="44" t="str">
        <f>HYPERLINK("https://www.centcols.org/util/geo/visuGen.php?code=FR-30-0724","FR-30-0724")</f>
        <v>FR-30-0724</v>
      </c>
      <c r="K395" s="3"/>
      <c r="L395" s="1" t="s">
        <v>5138</v>
      </c>
      <c r="M395" s="8">
        <v>99</v>
      </c>
      <c r="N395" s="8">
        <v>10</v>
      </c>
      <c r="O395" s="4"/>
      <c r="P395" s="3" t="s">
        <v>3096</v>
      </c>
      <c r="Q395" s="3" t="s">
        <v>3097</v>
      </c>
      <c r="R395" s="3" t="s">
        <v>3098</v>
      </c>
      <c r="S395" s="25">
        <v>3.435899</v>
      </c>
      <c r="T395" s="25">
        <v>43.889372</v>
      </c>
      <c r="U395" s="2">
        <v>31</v>
      </c>
      <c r="V395" s="3">
        <v>535013</v>
      </c>
      <c r="W395" s="3">
        <v>4859678</v>
      </c>
      <c r="X395" s="25">
        <v>1.221429</v>
      </c>
      <c r="Y395" s="25">
        <v>48.765977</v>
      </c>
      <c r="Z395" s="6"/>
      <c r="AA395" s="7" t="s">
        <v>5138</v>
      </c>
      <c r="AB395" s="8">
        <v>2017</v>
      </c>
      <c r="AC395" s="9"/>
      <c r="AD395" s="10"/>
      <c r="AE395" s="31" t="s">
        <v>3099</v>
      </c>
    </row>
    <row r="396" spans="1:31" ht="12.75">
      <c r="A396" s="4" t="s">
        <v>3100</v>
      </c>
      <c r="B396" s="1" t="s">
        <v>5589</v>
      </c>
      <c r="C396" s="1" t="s">
        <v>6300</v>
      </c>
      <c r="D396" s="1" t="s">
        <v>6301</v>
      </c>
      <c r="E396" s="2">
        <v>920</v>
      </c>
      <c r="F396" s="2">
        <v>59</v>
      </c>
      <c r="G396" s="3" t="s">
        <v>3044</v>
      </c>
      <c r="H396" s="3" t="s">
        <v>3101</v>
      </c>
      <c r="I396" s="3" t="s">
        <v>3102</v>
      </c>
      <c r="J396" s="44" t="str">
        <f>HYPERLINK("https://www.centcols.org/util/geo/visuGen.php?code=FR-30-0920","FR-30-0920")</f>
        <v>FR-30-0920</v>
      </c>
      <c r="K396" s="3"/>
      <c r="L396" s="1" t="s">
        <v>5246</v>
      </c>
      <c r="M396" s="8">
        <v>2</v>
      </c>
      <c r="N396" s="8">
        <v>10</v>
      </c>
      <c r="O396" s="4"/>
      <c r="P396" s="3"/>
      <c r="Q396" s="3" t="s">
        <v>3103</v>
      </c>
      <c r="R396" s="3" t="s">
        <v>3104</v>
      </c>
      <c r="S396" s="25">
        <v>3.719648</v>
      </c>
      <c r="T396" s="25">
        <v>44.088157</v>
      </c>
      <c r="U396" s="2">
        <v>31</v>
      </c>
      <c r="V396" s="3">
        <v>557612</v>
      </c>
      <c r="W396" s="3">
        <v>4881916</v>
      </c>
      <c r="X396" s="25">
        <v>1.536696</v>
      </c>
      <c r="Y396" s="25">
        <v>48.986849</v>
      </c>
      <c r="Z396" s="6"/>
      <c r="AA396" s="7" t="s">
        <v>5138</v>
      </c>
      <c r="AB396" s="8">
        <v>2011</v>
      </c>
      <c r="AC396" s="9"/>
      <c r="AD396" s="10">
        <v>1</v>
      </c>
      <c r="AE396" s="31" t="s">
        <v>3105</v>
      </c>
    </row>
    <row r="397" spans="1:31" ht="12.75">
      <c r="A397" s="4" t="s">
        <v>3106</v>
      </c>
      <c r="B397" s="1" t="s">
        <v>5262</v>
      </c>
      <c r="C397" s="1" t="s">
        <v>3107</v>
      </c>
      <c r="D397" s="1" t="s">
        <v>3107</v>
      </c>
      <c r="E397" s="2">
        <v>1011</v>
      </c>
      <c r="F397" s="2">
        <v>58</v>
      </c>
      <c r="G397" s="3" t="s">
        <v>3108</v>
      </c>
      <c r="H397" s="3" t="s">
        <v>3109</v>
      </c>
      <c r="I397" s="3" t="s">
        <v>3110</v>
      </c>
      <c r="J397" s="44" t="str">
        <f>HYPERLINK("https://www.centcols.org/util/geo/visuGen.php?code=FR-30-1011","FR-30-1011")</f>
        <v>FR-30-1011</v>
      </c>
      <c r="K397" s="3" t="s">
        <v>3111</v>
      </c>
      <c r="L397" s="1" t="s">
        <v>3112</v>
      </c>
      <c r="M397" s="8">
        <v>0</v>
      </c>
      <c r="N397" s="8">
        <v>0</v>
      </c>
      <c r="O397" s="4"/>
      <c r="P397" s="3" t="s">
        <v>3113</v>
      </c>
      <c r="Q397" s="3" t="s">
        <v>3114</v>
      </c>
      <c r="R397" s="3" t="s">
        <v>3115</v>
      </c>
      <c r="S397" s="25">
        <v>3.423745912397432</v>
      </c>
      <c r="T397" s="25">
        <v>44.151739618488854</v>
      </c>
      <c r="U397" s="2">
        <v>31</v>
      </c>
      <c r="V397" s="3">
        <v>533887</v>
      </c>
      <c r="W397" s="3">
        <v>4888814</v>
      </c>
      <c r="X397" s="25">
        <v>1.207929705681137</v>
      </c>
      <c r="Y397" s="25">
        <v>49.05749889185847</v>
      </c>
      <c r="Z397" s="6"/>
      <c r="AA397" s="7" t="s">
        <v>5138</v>
      </c>
      <c r="AB397" s="8">
        <v>2008</v>
      </c>
      <c r="AC397" s="9"/>
      <c r="AD397" s="10">
        <v>1</v>
      </c>
      <c r="AE397" s="31" t="s">
        <v>3116</v>
      </c>
    </row>
    <row r="398" spans="1:31" ht="12.75">
      <c r="A398" s="4" t="s">
        <v>3117</v>
      </c>
      <c r="B398" s="1" t="s">
        <v>3118</v>
      </c>
      <c r="C398" s="1" t="s">
        <v>3119</v>
      </c>
      <c r="D398" s="1" t="s">
        <v>3120</v>
      </c>
      <c r="E398" s="2">
        <v>210</v>
      </c>
      <c r="F398" s="2">
        <v>64</v>
      </c>
      <c r="G398" s="3" t="s">
        <v>3121</v>
      </c>
      <c r="H398" s="3" t="s">
        <v>3122</v>
      </c>
      <c r="I398" s="3" t="s">
        <v>3123</v>
      </c>
      <c r="J398" s="44" t="str">
        <f>HYPERLINK("https://www.centcols.org/util/geo/visuGen.php?code=FR-31-0210","FR-31-0210")</f>
        <v>FR-31-0210</v>
      </c>
      <c r="K398" s="3"/>
      <c r="L398" s="1"/>
      <c r="M398" s="8">
        <v>99</v>
      </c>
      <c r="N398" s="8">
        <v>20</v>
      </c>
      <c r="O398" s="4"/>
      <c r="P398" s="3"/>
      <c r="Q398" s="3" t="s">
        <v>3124</v>
      </c>
      <c r="R398" s="3" t="s">
        <v>3125</v>
      </c>
      <c r="S398" s="25">
        <v>1.907308832718083</v>
      </c>
      <c r="T398" s="25">
        <v>43.42621666180245</v>
      </c>
      <c r="U398" s="2">
        <v>31</v>
      </c>
      <c r="V398" s="3">
        <v>411554</v>
      </c>
      <c r="W398" s="3">
        <v>4808727</v>
      </c>
      <c r="X398" s="25">
        <v>-0.47694856216973325</v>
      </c>
      <c r="Y398" s="25">
        <v>48.251364106512646</v>
      </c>
      <c r="Z398" s="6"/>
      <c r="AA398" s="7" t="s">
        <v>5138</v>
      </c>
      <c r="AB398" s="8">
        <v>2008</v>
      </c>
      <c r="AC398" s="9"/>
      <c r="AD398" s="10">
        <v>1</v>
      </c>
      <c r="AE398" s="31" t="s">
        <v>3126</v>
      </c>
    </row>
    <row r="399" spans="1:31" ht="12.75">
      <c r="A399" s="4" t="s">
        <v>3127</v>
      </c>
      <c r="B399" s="1" t="s">
        <v>3128</v>
      </c>
      <c r="C399" s="1" t="s">
        <v>5012</v>
      </c>
      <c r="D399" s="1" t="s">
        <v>3129</v>
      </c>
      <c r="E399" s="2">
        <v>250</v>
      </c>
      <c r="F399" s="2">
        <v>64</v>
      </c>
      <c r="G399" s="3" t="s">
        <v>3130</v>
      </c>
      <c r="H399" s="3" t="s">
        <v>3131</v>
      </c>
      <c r="I399" s="3" t="s">
        <v>3132</v>
      </c>
      <c r="J399" s="44" t="str">
        <f>HYPERLINK("https://www.centcols.org/util/geo/visuGen.php?code=FR-31-0250","FR-31-0250")</f>
        <v>FR-31-0250</v>
      </c>
      <c r="K399" s="3" t="s">
        <v>3133</v>
      </c>
      <c r="L399" s="1" t="s">
        <v>3134</v>
      </c>
      <c r="M399" s="8">
        <v>0</v>
      </c>
      <c r="N399" s="8">
        <v>0</v>
      </c>
      <c r="O399" s="4"/>
      <c r="P399" s="3"/>
      <c r="Q399" s="3" t="s">
        <v>3135</v>
      </c>
      <c r="R399" s="3" t="s">
        <v>3136</v>
      </c>
      <c r="S399" s="25">
        <v>1.660172</v>
      </c>
      <c r="T399" s="25">
        <v>43.484293</v>
      </c>
      <c r="U399" s="2">
        <v>31</v>
      </c>
      <c r="V399" s="3">
        <v>391654</v>
      </c>
      <c r="W399" s="3">
        <v>4815469</v>
      </c>
      <c r="X399" s="25">
        <v>-0.751532</v>
      </c>
      <c r="Y399" s="25">
        <v>48.315899</v>
      </c>
      <c r="Z399" s="6"/>
      <c r="AA399" s="7" t="s">
        <v>5138</v>
      </c>
      <c r="AB399" s="8">
        <v>2018</v>
      </c>
      <c r="AC399" s="57">
        <v>43199</v>
      </c>
      <c r="AD399" s="10"/>
      <c r="AE399" s="31" t="s">
        <v>3137</v>
      </c>
    </row>
    <row r="400" spans="1:31" ht="12.75">
      <c r="A400" s="18" t="s">
        <v>3138</v>
      </c>
      <c r="B400" s="20" t="s">
        <v>5574</v>
      </c>
      <c r="C400" s="20" t="s">
        <v>3139</v>
      </c>
      <c r="D400" s="20" t="s">
        <v>3140</v>
      </c>
      <c r="E400" s="19">
        <v>323</v>
      </c>
      <c r="F400" s="14">
        <v>64</v>
      </c>
      <c r="G400" s="19" t="s">
        <v>3130</v>
      </c>
      <c r="H400" s="19" t="s">
        <v>3141</v>
      </c>
      <c r="I400" s="19" t="s">
        <v>3142</v>
      </c>
      <c r="J400" s="44" t="str">
        <f>HYPERLINK("https://www.centcols.org/util/geo/visuGen.php?code=FR-31-0323","FR-31-0323")</f>
        <v>FR-31-0323</v>
      </c>
      <c r="K400" s="19" t="s">
        <v>3143</v>
      </c>
      <c r="L400" s="20" t="s">
        <v>3144</v>
      </c>
      <c r="M400" s="19">
        <v>0</v>
      </c>
      <c r="N400" s="19">
        <v>0</v>
      </c>
      <c r="O400" s="18"/>
      <c r="P400" s="19"/>
      <c r="Q400" s="19" t="s">
        <v>3145</v>
      </c>
      <c r="R400" s="19" t="s">
        <v>3146</v>
      </c>
      <c r="S400" s="59">
        <v>1.793408</v>
      </c>
      <c r="T400" s="59">
        <v>43.525359</v>
      </c>
      <c r="U400" s="19">
        <v>31</v>
      </c>
      <c r="V400" s="3">
        <v>402494</v>
      </c>
      <c r="W400" s="3">
        <v>4819865</v>
      </c>
      <c r="X400" s="59">
        <v>-0.603498</v>
      </c>
      <c r="Y400" s="59">
        <v>48.361526</v>
      </c>
      <c r="Z400" s="61"/>
      <c r="AA400" s="7" t="s">
        <v>5138</v>
      </c>
      <c r="AB400" s="54">
        <v>2018</v>
      </c>
      <c r="AC400" s="57">
        <v>43199</v>
      </c>
      <c r="AD400" s="54"/>
      <c r="AE400" s="23" t="s">
        <v>3147</v>
      </c>
    </row>
    <row r="401" spans="1:31" ht="12.75">
      <c r="A401" s="4" t="s">
        <v>3148</v>
      </c>
      <c r="B401" s="1" t="s">
        <v>5741</v>
      </c>
      <c r="C401" s="1" t="s">
        <v>6193</v>
      </c>
      <c r="D401" s="1" t="s">
        <v>3149</v>
      </c>
      <c r="E401" s="2">
        <v>543</v>
      </c>
      <c r="F401" s="2">
        <v>71</v>
      </c>
      <c r="G401" s="3" t="s">
        <v>6705</v>
      </c>
      <c r="H401" s="3" t="s">
        <v>3150</v>
      </c>
      <c r="I401" s="3" t="s">
        <v>3151</v>
      </c>
      <c r="J401" s="44" t="str">
        <f>HYPERLINK("https://www.centcols.org/util/geo/visuGen.php?code=FR-31-0543","FR-31-0543")</f>
        <v>FR-31-0543</v>
      </c>
      <c r="K401" s="3" t="s">
        <v>3152</v>
      </c>
      <c r="L401" s="1" t="s">
        <v>5157</v>
      </c>
      <c r="M401" s="8">
        <v>0</v>
      </c>
      <c r="N401" s="8">
        <v>0</v>
      </c>
      <c r="O401" s="4"/>
      <c r="P401" s="3"/>
      <c r="Q401" s="3" t="s">
        <v>3153</v>
      </c>
      <c r="R401" s="3" t="s">
        <v>3154</v>
      </c>
      <c r="S401" s="25">
        <v>0.9985781062051817</v>
      </c>
      <c r="T401" s="25">
        <v>43.007185384939376</v>
      </c>
      <c r="U401" s="2">
        <v>31</v>
      </c>
      <c r="V401" s="3">
        <v>336884</v>
      </c>
      <c r="W401" s="3">
        <v>4763556</v>
      </c>
      <c r="X401" s="25">
        <v>-1.4866149043962384</v>
      </c>
      <c r="Y401" s="25">
        <v>47.78577797119515</v>
      </c>
      <c r="Z401" s="6"/>
      <c r="AA401" s="7" t="s">
        <v>5138</v>
      </c>
      <c r="AB401" s="8" t="s">
        <v>5571</v>
      </c>
      <c r="AC401" s="9">
        <v>41387</v>
      </c>
      <c r="AD401" s="10">
        <v>31</v>
      </c>
      <c r="AE401" s="31" t="s">
        <v>3155</v>
      </c>
    </row>
    <row r="402" spans="1:31" ht="12.75">
      <c r="A402" s="18" t="s">
        <v>3156</v>
      </c>
      <c r="B402" s="20" t="s">
        <v>5262</v>
      </c>
      <c r="C402" s="20" t="s">
        <v>3157</v>
      </c>
      <c r="D402" s="20" t="s">
        <v>3157</v>
      </c>
      <c r="E402" s="19">
        <v>617</v>
      </c>
      <c r="F402" s="14">
        <v>70</v>
      </c>
      <c r="G402" s="19" t="s">
        <v>6734</v>
      </c>
      <c r="H402" s="19" t="s">
        <v>3158</v>
      </c>
      <c r="I402" s="19" t="s">
        <v>3159</v>
      </c>
      <c r="J402" s="44" t="str">
        <f>HYPERLINK("https://www.centcols.org/util/geo/visuGen.php?code=FR-31-0617","FR-31-0617")</f>
        <v>FR-31-0617</v>
      </c>
      <c r="K402" s="19" t="s">
        <v>3160</v>
      </c>
      <c r="L402" s="20" t="s">
        <v>5157</v>
      </c>
      <c r="M402" s="19">
        <v>0</v>
      </c>
      <c r="N402" s="19">
        <v>0</v>
      </c>
      <c r="O402" s="18"/>
      <c r="P402" s="19"/>
      <c r="Q402" s="19" t="s">
        <v>3161</v>
      </c>
      <c r="R402" s="19" t="s">
        <v>3162</v>
      </c>
      <c r="S402" s="59">
        <v>0.727468</v>
      </c>
      <c r="T402" s="59">
        <v>42.969613</v>
      </c>
      <c r="U402" s="19">
        <v>31</v>
      </c>
      <c r="V402" s="3">
        <v>314675</v>
      </c>
      <c r="W402" s="3">
        <v>4759946</v>
      </c>
      <c r="X402" s="59">
        <v>-1.787835</v>
      </c>
      <c r="Y402" s="59">
        <v>47.744033</v>
      </c>
      <c r="Z402" s="61"/>
      <c r="AA402" s="7" t="s">
        <v>5138</v>
      </c>
      <c r="AB402" s="54">
        <v>2018</v>
      </c>
      <c r="AC402" s="57">
        <v>43199</v>
      </c>
      <c r="AD402" s="54"/>
      <c r="AE402" s="23" t="s">
        <v>3163</v>
      </c>
    </row>
    <row r="403" spans="1:31" ht="12.75">
      <c r="A403" s="4" t="s">
        <v>3164</v>
      </c>
      <c r="B403" s="1" t="s">
        <v>5534</v>
      </c>
      <c r="C403" s="1" t="s">
        <v>3165</v>
      </c>
      <c r="D403" s="1" t="s">
        <v>3166</v>
      </c>
      <c r="E403" s="2">
        <v>715</v>
      </c>
      <c r="F403" s="2">
        <v>70</v>
      </c>
      <c r="G403" s="3" t="s">
        <v>3167</v>
      </c>
      <c r="H403" s="3" t="s">
        <v>3168</v>
      </c>
      <c r="I403" s="3" t="s">
        <v>3169</v>
      </c>
      <c r="J403" s="44" t="str">
        <f>HYPERLINK("https://www.centcols.org/util/geo/visuGen.php?code=FR-31-0715","FR-31-0715")</f>
        <v>FR-31-0715</v>
      </c>
      <c r="K403" s="3"/>
      <c r="L403" s="1"/>
      <c r="M403" s="8">
        <v>99</v>
      </c>
      <c r="N403" s="8">
        <v>20</v>
      </c>
      <c r="O403" s="4"/>
      <c r="P403" s="3"/>
      <c r="Q403" s="3" t="s">
        <v>3170</v>
      </c>
      <c r="R403" s="3" t="s">
        <v>3171</v>
      </c>
      <c r="S403" s="25">
        <v>0.7034443001903282</v>
      </c>
      <c r="T403" s="25">
        <v>43.018918963717944</v>
      </c>
      <c r="U403" s="2">
        <v>31</v>
      </c>
      <c r="V403" s="3">
        <v>312865</v>
      </c>
      <c r="W403" s="3">
        <v>4765475</v>
      </c>
      <c r="X403" s="25">
        <v>-1.8145265967663062</v>
      </c>
      <c r="Y403" s="25">
        <v>47.79881840131162</v>
      </c>
      <c r="Z403" s="6"/>
      <c r="AA403" s="7" t="s">
        <v>5138</v>
      </c>
      <c r="AB403" s="8" t="s">
        <v>5571</v>
      </c>
      <c r="AC403" s="9">
        <v>41212</v>
      </c>
      <c r="AD403" s="10">
        <v>1</v>
      </c>
      <c r="AE403" s="31" t="s">
        <v>3172</v>
      </c>
    </row>
    <row r="404" spans="1:31" ht="22.5">
      <c r="A404" s="4" t="s">
        <v>3173</v>
      </c>
      <c r="B404" s="1" t="s">
        <v>3174</v>
      </c>
      <c r="C404" s="1" t="s">
        <v>3175</v>
      </c>
      <c r="D404" s="1" t="s">
        <v>3176</v>
      </c>
      <c r="E404" s="2">
        <v>790</v>
      </c>
      <c r="F404" s="2">
        <v>70</v>
      </c>
      <c r="G404" s="3" t="s">
        <v>3177</v>
      </c>
      <c r="H404" s="3" t="s">
        <v>3178</v>
      </c>
      <c r="I404" s="3" t="s">
        <v>3179</v>
      </c>
      <c r="J404" s="44" t="str">
        <f>HYPERLINK("https://www.centcols.org/util/geo/visuGen.php?code=FR-31-0741","FR-31-0741")</f>
        <v>FR-31-0741</v>
      </c>
      <c r="K404" s="3"/>
      <c r="L404" s="1"/>
      <c r="M404" s="8">
        <v>99</v>
      </c>
      <c r="N404" s="8">
        <v>20</v>
      </c>
      <c r="O404" s="4"/>
      <c r="P404" s="3"/>
      <c r="Q404" s="3" t="s">
        <v>3180</v>
      </c>
      <c r="R404" s="3" t="s">
        <v>3181</v>
      </c>
      <c r="S404" s="25">
        <v>0.7140560049186466</v>
      </c>
      <c r="T404" s="25">
        <v>43.02231846619462</v>
      </c>
      <c r="U404" s="2">
        <v>31</v>
      </c>
      <c r="V404" s="3">
        <v>313740</v>
      </c>
      <c r="W404" s="3">
        <v>4765829</v>
      </c>
      <c r="X404" s="25">
        <v>-1.802736226029423</v>
      </c>
      <c r="Y404" s="25">
        <v>47.80259559983802</v>
      </c>
      <c r="Z404" s="6"/>
      <c r="AA404" s="7" t="s">
        <v>5138</v>
      </c>
      <c r="AB404" s="8">
        <v>2011</v>
      </c>
      <c r="AC404" s="9"/>
      <c r="AD404" s="10">
        <v>1</v>
      </c>
      <c r="AE404" s="31" t="s">
        <v>3182</v>
      </c>
    </row>
    <row r="405" spans="1:31" ht="12.75">
      <c r="A405" s="18" t="s">
        <v>3183</v>
      </c>
      <c r="B405" s="20" t="s">
        <v>3184</v>
      </c>
      <c r="C405" s="20" t="s">
        <v>3185</v>
      </c>
      <c r="D405" s="20" t="s">
        <v>3186</v>
      </c>
      <c r="E405" s="19">
        <v>819</v>
      </c>
      <c r="F405" s="14">
        <v>70</v>
      </c>
      <c r="G405" s="19" t="s">
        <v>3167</v>
      </c>
      <c r="H405" s="19" t="s">
        <v>3187</v>
      </c>
      <c r="I405" s="19" t="s">
        <v>3188</v>
      </c>
      <c r="J405" s="44" t="str">
        <f>HYPERLINK("https://www.centcols.org/util/geo/visuGen.php?code=FR-31-0819","FR-31-0819")</f>
        <v>FR-31-0819</v>
      </c>
      <c r="K405" s="19"/>
      <c r="L405" s="20"/>
      <c r="M405" s="19">
        <v>99</v>
      </c>
      <c r="N405" s="19">
        <v>20</v>
      </c>
      <c r="O405" s="18"/>
      <c r="P405" s="19"/>
      <c r="Q405" s="19" t="s">
        <v>3189</v>
      </c>
      <c r="R405" s="19" t="s">
        <v>3190</v>
      </c>
      <c r="S405" s="59">
        <v>0.687439</v>
      </c>
      <c r="T405" s="59">
        <v>42.991039</v>
      </c>
      <c r="U405" s="19">
        <v>31</v>
      </c>
      <c r="V405" s="3">
        <v>311476</v>
      </c>
      <c r="W405" s="3">
        <v>4762415</v>
      </c>
      <c r="X405" s="59">
        <v>-1.83231</v>
      </c>
      <c r="Y405" s="59">
        <v>47.76784</v>
      </c>
      <c r="Z405" s="23"/>
      <c r="AA405" s="7" t="s">
        <v>5138</v>
      </c>
      <c r="AB405" s="54">
        <v>2018</v>
      </c>
      <c r="AC405" s="57">
        <v>43199</v>
      </c>
      <c r="AD405" s="11"/>
      <c r="AE405" s="23" t="s">
        <v>3191</v>
      </c>
    </row>
    <row r="406" spans="1:31" ht="12.75">
      <c r="A406" s="4" t="s">
        <v>3192</v>
      </c>
      <c r="B406" s="1" t="s">
        <v>3193</v>
      </c>
      <c r="C406" s="1" t="s">
        <v>3194</v>
      </c>
      <c r="D406" s="1" t="s">
        <v>3195</v>
      </c>
      <c r="E406" s="2">
        <v>937</v>
      </c>
      <c r="F406" s="2">
        <v>70</v>
      </c>
      <c r="G406" s="3" t="s">
        <v>3167</v>
      </c>
      <c r="H406" s="3" t="s">
        <v>3196</v>
      </c>
      <c r="I406" s="3" t="s">
        <v>3197</v>
      </c>
      <c r="J406" s="44" t="str">
        <f>HYPERLINK("https://www.centcols.org/util/geo/visuGen.php?code=FR-31-0937","FR-31-0937")</f>
        <v>FR-31-0937</v>
      </c>
      <c r="K406" s="3"/>
      <c r="L406" s="1" t="s">
        <v>5138</v>
      </c>
      <c r="M406" s="8">
        <v>35</v>
      </c>
      <c r="N406" s="8">
        <v>10</v>
      </c>
      <c r="O406" s="4"/>
      <c r="P406" s="3"/>
      <c r="Q406" s="3" t="s">
        <v>3198</v>
      </c>
      <c r="R406" s="3" t="s">
        <v>3199</v>
      </c>
      <c r="S406" s="25">
        <v>0.5469895135527632</v>
      </c>
      <c r="T406" s="25">
        <v>43.0001685178832</v>
      </c>
      <c r="U406" s="2">
        <v>31</v>
      </c>
      <c r="V406" s="3">
        <v>300055</v>
      </c>
      <c r="W406" s="3">
        <v>4763753</v>
      </c>
      <c r="X406" s="25">
        <v>-1.9883569109683814</v>
      </c>
      <c r="Y406" s="25">
        <v>47.77798600473084</v>
      </c>
      <c r="Z406" s="6"/>
      <c r="AA406" s="7" t="s">
        <v>5138</v>
      </c>
      <c r="AB406" s="8">
        <v>2006</v>
      </c>
      <c r="AC406" s="9"/>
      <c r="AD406" s="10">
        <v>1</v>
      </c>
      <c r="AE406" s="31" t="s">
        <v>3200</v>
      </c>
    </row>
    <row r="407" spans="1:31" ht="12.75">
      <c r="A407" s="4" t="s">
        <v>3201</v>
      </c>
      <c r="B407" s="1" t="s">
        <v>5574</v>
      </c>
      <c r="C407" s="1" t="s">
        <v>3202</v>
      </c>
      <c r="D407" s="1" t="s">
        <v>3203</v>
      </c>
      <c r="E407" s="2">
        <v>1024</v>
      </c>
      <c r="F407" s="2">
        <v>70</v>
      </c>
      <c r="G407" s="3" t="s">
        <v>3204</v>
      </c>
      <c r="H407" s="3" t="s">
        <v>3205</v>
      </c>
      <c r="I407" s="3" t="s">
        <v>3206</v>
      </c>
      <c r="J407" s="44" t="str">
        <f>HYPERLINK("https://www.centcols.org/util/geo/visuGen.php?code=FR-31-1024","FR-31-1024")</f>
        <v>FR-31-1024</v>
      </c>
      <c r="K407" s="3"/>
      <c r="L407" s="1"/>
      <c r="M407" s="8">
        <v>99</v>
      </c>
      <c r="N407" s="8">
        <v>20</v>
      </c>
      <c r="O407" s="4"/>
      <c r="P407" s="3"/>
      <c r="Q407" s="3" t="s">
        <v>3207</v>
      </c>
      <c r="R407" s="3" t="s">
        <v>3208</v>
      </c>
      <c r="S407" s="25">
        <v>0.639965</v>
      </c>
      <c r="T407" s="25">
        <v>42.813531</v>
      </c>
      <c r="U407" s="2">
        <v>31</v>
      </c>
      <c r="V407" s="3">
        <v>307052</v>
      </c>
      <c r="W407" s="3">
        <v>4742810</v>
      </c>
      <c r="X407" s="25">
        <v>-1.88506</v>
      </c>
      <c r="Y407" s="25">
        <v>47.570607</v>
      </c>
      <c r="Z407" s="6"/>
      <c r="AA407" s="7" t="s">
        <v>5138</v>
      </c>
      <c r="AB407" s="8">
        <v>2018</v>
      </c>
      <c r="AC407" s="57">
        <v>43199</v>
      </c>
      <c r="AD407" s="10"/>
      <c r="AE407" s="31" t="s">
        <v>3209</v>
      </c>
    </row>
    <row r="408" spans="1:31" ht="12.75">
      <c r="A408" s="4" t="s">
        <v>3210</v>
      </c>
      <c r="B408" s="1" t="s">
        <v>5574</v>
      </c>
      <c r="C408" s="1" t="s">
        <v>3211</v>
      </c>
      <c r="D408" s="1" t="s">
        <v>3212</v>
      </c>
      <c r="E408" s="2">
        <v>1120</v>
      </c>
      <c r="F408" s="2">
        <v>70</v>
      </c>
      <c r="G408" s="3" t="s">
        <v>3213</v>
      </c>
      <c r="H408" s="3" t="s">
        <v>3214</v>
      </c>
      <c r="I408" s="3" t="s">
        <v>3215</v>
      </c>
      <c r="J408" s="44" t="str">
        <f>HYPERLINK("https://www.centcols.org/util/geo/visuGen.php?code=FR-31-1120","FR-31-1120")</f>
        <v>FR-31-1120</v>
      </c>
      <c r="K408" s="3"/>
      <c r="L408" s="1" t="s">
        <v>5726</v>
      </c>
      <c r="M408" s="8">
        <v>99</v>
      </c>
      <c r="N408" s="8">
        <v>15</v>
      </c>
      <c r="O408" s="4"/>
      <c r="P408" s="3"/>
      <c r="Q408" s="3" t="s">
        <v>3216</v>
      </c>
      <c r="R408" s="3" t="s">
        <v>3217</v>
      </c>
      <c r="S408" s="25">
        <v>0.51203</v>
      </c>
      <c r="T408" s="25">
        <v>42.804121</v>
      </c>
      <c r="U408" s="2">
        <v>31</v>
      </c>
      <c r="V408" s="3">
        <v>296562</v>
      </c>
      <c r="W408" s="3">
        <v>4742065</v>
      </c>
      <c r="X408" s="25">
        <v>-2.027201</v>
      </c>
      <c r="Y408" s="25">
        <v>47.560152</v>
      </c>
      <c r="Z408" s="6"/>
      <c r="AA408" s="7" t="s">
        <v>5138</v>
      </c>
      <c r="AB408" s="8">
        <v>2017</v>
      </c>
      <c r="AC408" s="9"/>
      <c r="AD408" s="10"/>
      <c r="AE408" s="31" t="s">
        <v>3218</v>
      </c>
    </row>
    <row r="409" spans="1:31" ht="12.75">
      <c r="A409" s="4" t="s">
        <v>3219</v>
      </c>
      <c r="B409" s="1" t="s">
        <v>4091</v>
      </c>
      <c r="C409" s="1" t="s">
        <v>3220</v>
      </c>
      <c r="D409" s="1" t="s">
        <v>3221</v>
      </c>
      <c r="E409" s="2">
        <v>1198</v>
      </c>
      <c r="F409" s="2">
        <v>71</v>
      </c>
      <c r="G409" s="3" t="s">
        <v>6734</v>
      </c>
      <c r="H409" s="3" t="s">
        <v>3222</v>
      </c>
      <c r="I409" s="3" t="s">
        <v>3223</v>
      </c>
      <c r="J409" s="44" t="str">
        <f>HYPERLINK("https://www.centcols.org/util/geo/visuGen.php?code=FR-31-1198","FR-31-1198")</f>
        <v>FR-31-1198</v>
      </c>
      <c r="K409" s="3"/>
      <c r="L409" s="1" t="s">
        <v>5176</v>
      </c>
      <c r="M409" s="8">
        <v>99</v>
      </c>
      <c r="N409" s="8">
        <v>15</v>
      </c>
      <c r="O409" s="4"/>
      <c r="P409" s="3"/>
      <c r="Q409" s="3" t="s">
        <v>3224</v>
      </c>
      <c r="R409" s="3" t="s">
        <v>3225</v>
      </c>
      <c r="S409" s="25">
        <v>0.7463278839582972</v>
      </c>
      <c r="T409" s="25">
        <v>42.951048175251714</v>
      </c>
      <c r="U409" s="2">
        <v>31</v>
      </c>
      <c r="V409" s="3">
        <v>316158</v>
      </c>
      <c r="W409" s="3">
        <v>4757843</v>
      </c>
      <c r="X409" s="25">
        <v>-1.7668813965335963</v>
      </c>
      <c r="Y409" s="25">
        <v>47.723404977724435</v>
      </c>
      <c r="Z409" s="6"/>
      <c r="AA409" s="7" t="s">
        <v>5176</v>
      </c>
      <c r="AB409" s="8" t="s">
        <v>5911</v>
      </c>
      <c r="AC409" s="9"/>
      <c r="AD409" s="10">
        <v>1</v>
      </c>
      <c r="AE409" s="31" t="s">
        <v>3226</v>
      </c>
    </row>
    <row r="410" spans="1:31" ht="12.75">
      <c r="A410" s="4" t="s">
        <v>3227</v>
      </c>
      <c r="B410" s="1" t="s">
        <v>5704</v>
      </c>
      <c r="C410" s="1" t="s">
        <v>3228</v>
      </c>
      <c r="D410" s="1" t="s">
        <v>3229</v>
      </c>
      <c r="E410" s="2">
        <v>1231</v>
      </c>
      <c r="F410" s="2">
        <v>70</v>
      </c>
      <c r="G410" s="3" t="s">
        <v>3213</v>
      </c>
      <c r="H410" s="3" t="s">
        <v>3230</v>
      </c>
      <c r="I410" s="3" t="s">
        <v>3231</v>
      </c>
      <c r="J410" s="44" t="str">
        <f>HYPERLINK("https://www.centcols.org/util/geo/visuGen.php?code=FR-31-1231","FR-31-1231")</f>
        <v>FR-31-1231</v>
      </c>
      <c r="K410" s="3" t="s">
        <v>3232</v>
      </c>
      <c r="L410" s="1" t="s">
        <v>3233</v>
      </c>
      <c r="M410" s="8">
        <v>0</v>
      </c>
      <c r="N410" s="8">
        <v>0</v>
      </c>
      <c r="O410" s="4"/>
      <c r="P410" s="3"/>
      <c r="Q410" s="3" t="s">
        <v>3234</v>
      </c>
      <c r="R410" s="3" t="s">
        <v>3235</v>
      </c>
      <c r="S410" s="25">
        <v>0.500505</v>
      </c>
      <c r="T410" s="25">
        <v>42.801488</v>
      </c>
      <c r="U410" s="2">
        <v>31</v>
      </c>
      <c r="V410" s="3">
        <v>295611</v>
      </c>
      <c r="W410" s="3">
        <v>4741801</v>
      </c>
      <c r="X410" s="25">
        <v>-2.040006</v>
      </c>
      <c r="Y410" s="25">
        <v>47.557227</v>
      </c>
      <c r="Z410" s="6"/>
      <c r="AA410" s="7" t="s">
        <v>5138</v>
      </c>
      <c r="AB410" s="8">
        <v>2017</v>
      </c>
      <c r="AC410" s="9"/>
      <c r="AD410" s="10"/>
      <c r="AE410" s="31" t="s">
        <v>3218</v>
      </c>
    </row>
    <row r="411" spans="1:31" ht="12.75">
      <c r="A411" s="4" t="s">
        <v>3236</v>
      </c>
      <c r="B411" s="1" t="s">
        <v>5574</v>
      </c>
      <c r="C411" s="1" t="s">
        <v>3237</v>
      </c>
      <c r="D411" s="1" t="s">
        <v>3238</v>
      </c>
      <c r="E411" s="2">
        <v>1300</v>
      </c>
      <c r="F411" s="2">
        <v>71</v>
      </c>
      <c r="G411" s="3" t="s">
        <v>6734</v>
      </c>
      <c r="H411" s="3" t="s">
        <v>3239</v>
      </c>
      <c r="I411" s="3" t="s">
        <v>3240</v>
      </c>
      <c r="J411" s="44" t="str">
        <f>HYPERLINK("https://www.centcols.org/util/geo/visuGen.php?code=FR-31-1380","FR-31-1380")</f>
        <v>FR-31-1380</v>
      </c>
      <c r="K411" s="3"/>
      <c r="L411" s="1" t="s">
        <v>5176</v>
      </c>
      <c r="M411" s="8">
        <v>99</v>
      </c>
      <c r="N411" s="8">
        <v>15</v>
      </c>
      <c r="O411" s="4"/>
      <c r="P411" s="3"/>
      <c r="Q411" s="3" t="s">
        <v>3241</v>
      </c>
      <c r="R411" s="3" t="s">
        <v>3242</v>
      </c>
      <c r="S411" s="25">
        <v>0.8241093750944315</v>
      </c>
      <c r="T411" s="25">
        <v>42.88948927035836</v>
      </c>
      <c r="U411" s="2">
        <v>31</v>
      </c>
      <c r="V411" s="3">
        <v>322326</v>
      </c>
      <c r="W411" s="3">
        <v>4750840</v>
      </c>
      <c r="X411" s="25">
        <v>-1.68046287209581</v>
      </c>
      <c r="Y411" s="25">
        <v>47.655004288292886</v>
      </c>
      <c r="Z411" s="6"/>
      <c r="AA411" s="7" t="s">
        <v>5176</v>
      </c>
      <c r="AB411" s="8" t="s">
        <v>5802</v>
      </c>
      <c r="AC411" s="9"/>
      <c r="AD411" s="10">
        <v>1</v>
      </c>
      <c r="AE411" s="31" t="s">
        <v>3243</v>
      </c>
    </row>
    <row r="412" spans="1:31" ht="12.75">
      <c r="A412" s="4" t="s">
        <v>3244</v>
      </c>
      <c r="B412" s="1" t="s">
        <v>5923</v>
      </c>
      <c r="C412" s="1" t="s">
        <v>3245</v>
      </c>
      <c r="D412" s="1" t="s">
        <v>3246</v>
      </c>
      <c r="E412" s="2">
        <v>35</v>
      </c>
      <c r="F412" s="2">
        <v>46</v>
      </c>
      <c r="G412" s="3" t="s">
        <v>3247</v>
      </c>
      <c r="H412" s="3" t="s">
        <v>3248</v>
      </c>
      <c r="I412" s="3" t="s">
        <v>3249</v>
      </c>
      <c r="J412" s="44" t="str">
        <f>HYPERLINK("https://www.centcols.org/util/geo/visuGen.php?code=FR-33-0035","FR-33-0035")</f>
        <v>FR-33-0035</v>
      </c>
      <c r="K412" s="3" t="s">
        <v>3250</v>
      </c>
      <c r="L412" s="1" t="s">
        <v>3251</v>
      </c>
      <c r="M412" s="8">
        <v>0</v>
      </c>
      <c r="N412" s="8">
        <v>0</v>
      </c>
      <c r="O412" s="4"/>
      <c r="P412" s="3"/>
      <c r="Q412" s="3" t="s">
        <v>3252</v>
      </c>
      <c r="R412" s="3" t="s">
        <v>3253</v>
      </c>
      <c r="S412" s="25">
        <v>-1.136</v>
      </c>
      <c r="T412" s="25">
        <v>45.22423</v>
      </c>
      <c r="U412" s="2">
        <v>30</v>
      </c>
      <c r="V412" s="3">
        <v>646338</v>
      </c>
      <c r="W412" s="3">
        <v>5009551</v>
      </c>
      <c r="X412" s="25">
        <v>-3.85822</v>
      </c>
      <c r="Y412" s="25">
        <v>50.24922</v>
      </c>
      <c r="Z412" s="6"/>
      <c r="AA412" s="7" t="s">
        <v>5138</v>
      </c>
      <c r="AB412" s="8">
        <v>2015</v>
      </c>
      <c r="AC412" s="9">
        <v>42045</v>
      </c>
      <c r="AD412" s="10"/>
      <c r="AE412" s="31" t="s">
        <v>3254</v>
      </c>
    </row>
    <row r="413" spans="1:31" ht="12.75">
      <c r="A413" s="4" t="s">
        <v>3255</v>
      </c>
      <c r="B413" s="1" t="s">
        <v>5923</v>
      </c>
      <c r="C413" s="1" t="s">
        <v>3256</v>
      </c>
      <c r="D413" s="1" t="s">
        <v>3257</v>
      </c>
      <c r="E413" s="2">
        <v>45</v>
      </c>
      <c r="F413" s="2">
        <v>46</v>
      </c>
      <c r="G413" s="3" t="s">
        <v>3247</v>
      </c>
      <c r="H413" s="3" t="s">
        <v>3258</v>
      </c>
      <c r="I413" s="3" t="s">
        <v>3259</v>
      </c>
      <c r="J413" s="44" t="str">
        <f>HYPERLINK("https://www.centcols.org/util/geo/visuGen.php?code=FR-33-0045","FR-33-0045")</f>
        <v>FR-33-0045</v>
      </c>
      <c r="K413" s="3" t="s">
        <v>3260</v>
      </c>
      <c r="L413" s="1" t="s">
        <v>3251</v>
      </c>
      <c r="M413" s="8">
        <v>0</v>
      </c>
      <c r="N413" s="8">
        <v>0</v>
      </c>
      <c r="O413" s="4"/>
      <c r="P413" s="3"/>
      <c r="Q413" s="3" t="s">
        <v>3261</v>
      </c>
      <c r="R413" s="3" t="s">
        <v>3262</v>
      </c>
      <c r="S413" s="25">
        <v>-1.14746</v>
      </c>
      <c r="T413" s="25">
        <v>45.2218</v>
      </c>
      <c r="U413" s="2">
        <v>30</v>
      </c>
      <c r="V413" s="3">
        <v>645444</v>
      </c>
      <c r="W413" s="3">
        <v>5009259</v>
      </c>
      <c r="X413" s="25">
        <v>-3.87096</v>
      </c>
      <c r="Y413" s="25">
        <v>50.24651</v>
      </c>
      <c r="Z413" s="6"/>
      <c r="AA413" s="7" t="s">
        <v>5138</v>
      </c>
      <c r="AB413" s="8">
        <v>2015</v>
      </c>
      <c r="AC413" s="9">
        <v>42045</v>
      </c>
      <c r="AD413" s="10"/>
      <c r="AE413" s="31" t="s">
        <v>3254</v>
      </c>
    </row>
    <row r="414" spans="1:31" ht="12.75">
      <c r="A414" s="4" t="s">
        <v>3263</v>
      </c>
      <c r="B414" s="1" t="s">
        <v>5981</v>
      </c>
      <c r="C414" s="1" t="s">
        <v>3264</v>
      </c>
      <c r="D414" s="1" t="s">
        <v>3265</v>
      </c>
      <c r="E414" s="2">
        <v>62</v>
      </c>
      <c r="F414" s="2">
        <v>65</v>
      </c>
      <c r="G414" s="3" t="s">
        <v>3266</v>
      </c>
      <c r="H414" s="3" t="s">
        <v>3267</v>
      </c>
      <c r="I414" s="3" t="s">
        <v>3268</v>
      </c>
      <c r="J414" s="44" t="str">
        <f>HYPERLINK("https://www.centcols.org/util/geo/visuGen.php?code=FR-34-0062","FR-34-0062")</f>
        <v>FR-34-0062</v>
      </c>
      <c r="K414" s="3" t="s">
        <v>3269</v>
      </c>
      <c r="L414" s="1" t="s">
        <v>5157</v>
      </c>
      <c r="M414" s="8">
        <v>0</v>
      </c>
      <c r="N414" s="8">
        <v>0</v>
      </c>
      <c r="O414" s="4"/>
      <c r="P414" s="3"/>
      <c r="Q414" s="3" t="s">
        <v>3270</v>
      </c>
      <c r="R414" s="3" t="s">
        <v>3271</v>
      </c>
      <c r="S414" s="25">
        <v>3.404791841887603</v>
      </c>
      <c r="T414" s="25">
        <v>43.478957325200234</v>
      </c>
      <c r="U414" s="2">
        <v>31</v>
      </c>
      <c r="V414" s="3">
        <v>532737</v>
      </c>
      <c r="W414" s="3">
        <v>4814084</v>
      </c>
      <c r="X414" s="25">
        <v>1.186856323158448</v>
      </c>
      <c r="Y414" s="25">
        <v>48.30995031380922</v>
      </c>
      <c r="Z414" s="6"/>
      <c r="AA414" s="7" t="s">
        <v>5138</v>
      </c>
      <c r="AB414" s="8">
        <v>2006</v>
      </c>
      <c r="AC414" s="9"/>
      <c r="AD414" s="10">
        <v>1</v>
      </c>
      <c r="AE414" s="31" t="s">
        <v>3272</v>
      </c>
    </row>
    <row r="415" spans="1:31" ht="12.75">
      <c r="A415" s="4" t="s">
        <v>3273</v>
      </c>
      <c r="B415" s="1" t="s">
        <v>5279</v>
      </c>
      <c r="C415" s="1" t="s">
        <v>3274</v>
      </c>
      <c r="D415" s="1" t="s">
        <v>3275</v>
      </c>
      <c r="E415" s="2">
        <v>81</v>
      </c>
      <c r="F415" s="2">
        <v>65</v>
      </c>
      <c r="G415" s="3" t="s">
        <v>3276</v>
      </c>
      <c r="H415" s="3" t="s">
        <v>3277</v>
      </c>
      <c r="I415" s="3" t="s">
        <v>3278</v>
      </c>
      <c r="J415" s="44" t="str">
        <f>HYPERLINK("https://www.centcols.org/util/geo/visuGen.php?code=FR-34-0081","FR-34-0081")</f>
        <v>FR-34-0081</v>
      </c>
      <c r="K415" s="3" t="s">
        <v>3279</v>
      </c>
      <c r="L415" s="1" t="s">
        <v>3280</v>
      </c>
      <c r="M415" s="8">
        <v>0</v>
      </c>
      <c r="N415" s="8">
        <v>0</v>
      </c>
      <c r="O415" s="4"/>
      <c r="P415" s="3"/>
      <c r="Q415" s="3" t="s">
        <v>3281</v>
      </c>
      <c r="R415" s="3" t="s">
        <v>3282</v>
      </c>
      <c r="S415" s="25">
        <v>3.583741499302257</v>
      </c>
      <c r="T415" s="25">
        <v>43.51150011852919</v>
      </c>
      <c r="U415" s="2">
        <v>31</v>
      </c>
      <c r="V415" s="3">
        <v>547183</v>
      </c>
      <c r="W415" s="3">
        <v>4817784</v>
      </c>
      <c r="X415" s="25">
        <v>1.3856828527784213</v>
      </c>
      <c r="Y415" s="25">
        <v>48.34610888205298</v>
      </c>
      <c r="Z415" s="6"/>
      <c r="AA415" s="7" t="s">
        <v>5176</v>
      </c>
      <c r="AB415" s="8">
        <v>2010</v>
      </c>
      <c r="AC415" s="9"/>
      <c r="AD415" s="10">
        <v>1</v>
      </c>
      <c r="AE415" s="31" t="s">
        <v>3283</v>
      </c>
    </row>
    <row r="416" spans="1:31" ht="12.75">
      <c r="A416" s="4" t="s">
        <v>3284</v>
      </c>
      <c r="B416" s="1" t="s">
        <v>4061</v>
      </c>
      <c r="C416" s="1" t="s">
        <v>3285</v>
      </c>
      <c r="D416" s="1" t="s">
        <v>3286</v>
      </c>
      <c r="E416" s="2">
        <v>205</v>
      </c>
      <c r="F416" s="2">
        <v>65</v>
      </c>
      <c r="G416" s="3" t="s">
        <v>3093</v>
      </c>
      <c r="H416" s="3" t="s">
        <v>3287</v>
      </c>
      <c r="I416" s="3" t="s">
        <v>3288</v>
      </c>
      <c r="J416" s="44" t="str">
        <f>HYPERLINK("https://www.centcols.org/util/geo/visuGen.php?code=FR-34-0205","FR-34-0205")</f>
        <v>FR-34-0205</v>
      </c>
      <c r="K416" s="3"/>
      <c r="L416" s="1" t="s">
        <v>5176</v>
      </c>
      <c r="M416" s="8">
        <v>99</v>
      </c>
      <c r="N416" s="8">
        <v>15</v>
      </c>
      <c r="O416" s="4"/>
      <c r="P416" s="3"/>
      <c r="Q416" s="3" t="s">
        <v>3289</v>
      </c>
      <c r="R416" s="3" t="s">
        <v>3290</v>
      </c>
      <c r="S416" s="25">
        <v>3.5952338175334444</v>
      </c>
      <c r="T416" s="25">
        <v>43.80894262827955</v>
      </c>
      <c r="U416" s="2">
        <v>31</v>
      </c>
      <c r="V416" s="3">
        <v>547875</v>
      </c>
      <c r="W416" s="3">
        <v>4850825</v>
      </c>
      <c r="X416" s="25">
        <v>1.3984592406666416</v>
      </c>
      <c r="Y416" s="25">
        <v>48.67660772736725</v>
      </c>
      <c r="Z416" s="6"/>
      <c r="AA416" s="7" t="s">
        <v>5138</v>
      </c>
      <c r="AB416" s="8" t="s">
        <v>5571</v>
      </c>
      <c r="AC416" s="9">
        <v>41265</v>
      </c>
      <c r="AD416" s="10">
        <v>10</v>
      </c>
      <c r="AE416" s="31" t="s">
        <v>3291</v>
      </c>
    </row>
    <row r="417" spans="1:31" ht="12.75">
      <c r="A417" s="4" t="s">
        <v>3292</v>
      </c>
      <c r="B417" s="1" t="s">
        <v>5589</v>
      </c>
      <c r="C417" s="1" t="s">
        <v>3293</v>
      </c>
      <c r="D417" s="1" t="s">
        <v>3294</v>
      </c>
      <c r="E417" s="2">
        <v>444</v>
      </c>
      <c r="F417" s="2">
        <v>65</v>
      </c>
      <c r="G417" s="3" t="s">
        <v>3295</v>
      </c>
      <c r="H417" s="3" t="s">
        <v>3296</v>
      </c>
      <c r="I417" s="3" t="s">
        <v>3297</v>
      </c>
      <c r="J417" s="44" t="str">
        <f>HYPERLINK("https://www.centcols.org/util/geo/visuGen.php?code=FR-34-0444a","FR-34-0444a")</f>
        <v>FR-34-0444a</v>
      </c>
      <c r="K417" s="3"/>
      <c r="L417" s="1" t="s">
        <v>5138</v>
      </c>
      <c r="M417" s="8">
        <v>35</v>
      </c>
      <c r="N417" s="8">
        <v>10</v>
      </c>
      <c r="O417" s="4"/>
      <c r="P417" s="3"/>
      <c r="Q417" s="3" t="s">
        <v>3298</v>
      </c>
      <c r="R417" s="3" t="s">
        <v>3299</v>
      </c>
      <c r="S417" s="25">
        <v>2.911606</v>
      </c>
      <c r="T417" s="25">
        <v>43.545485</v>
      </c>
      <c r="U417" s="2">
        <v>31</v>
      </c>
      <c r="V417" s="3">
        <v>492859</v>
      </c>
      <c r="W417" s="3">
        <v>4821397</v>
      </c>
      <c r="X417" s="25">
        <v>0.638896</v>
      </c>
      <c r="Y417" s="25">
        <v>48.383877</v>
      </c>
      <c r="Z417" s="6"/>
      <c r="AA417" s="7" t="s">
        <v>5138</v>
      </c>
      <c r="AB417" s="8">
        <v>2015</v>
      </c>
      <c r="AC417" s="9">
        <v>42045</v>
      </c>
      <c r="AD417" s="10"/>
      <c r="AE417" s="31" t="s">
        <v>3300</v>
      </c>
    </row>
    <row r="418" spans="1:31" ht="12.75">
      <c r="A418" s="4" t="s">
        <v>3301</v>
      </c>
      <c r="B418" s="1" t="s">
        <v>5589</v>
      </c>
      <c r="C418" s="1" t="s">
        <v>6300</v>
      </c>
      <c r="D418" s="1" t="s">
        <v>6301</v>
      </c>
      <c r="E418" s="2">
        <v>552</v>
      </c>
      <c r="F418" s="2">
        <v>65</v>
      </c>
      <c r="G418" s="3" t="s">
        <v>3093</v>
      </c>
      <c r="H418" s="3" t="s">
        <v>3302</v>
      </c>
      <c r="I418" s="3" t="s">
        <v>3303</v>
      </c>
      <c r="J418" s="44" t="str">
        <f>HYPERLINK("https://www.centcols.org/util/geo/visuGen.php?code=FR-34-0552","FR-34-0552")</f>
        <v>FR-34-0552</v>
      </c>
      <c r="K418" s="3" t="s">
        <v>3304</v>
      </c>
      <c r="L418" s="1" t="s">
        <v>5157</v>
      </c>
      <c r="M418" s="8">
        <v>0</v>
      </c>
      <c r="N418" s="8">
        <v>0</v>
      </c>
      <c r="O418" s="4"/>
      <c r="P418" s="3"/>
      <c r="Q418" s="3" t="s">
        <v>3305</v>
      </c>
      <c r="R418" s="3" t="s">
        <v>3306</v>
      </c>
      <c r="S418" s="25">
        <v>3.535328</v>
      </c>
      <c r="T418" s="25">
        <v>43.81841</v>
      </c>
      <c r="U418" s="2">
        <v>31</v>
      </c>
      <c r="V418" s="3">
        <v>543050</v>
      </c>
      <c r="W418" s="3" t="s">
        <v>7023</v>
      </c>
      <c r="X418" s="25">
        <v>1.3319004968947494</v>
      </c>
      <c r="Y418" s="25">
        <v>48.68712841111784</v>
      </c>
      <c r="Z418" s="6"/>
      <c r="AA418" s="7" t="s">
        <v>5138</v>
      </c>
      <c r="AB418" s="8">
        <v>2015</v>
      </c>
      <c r="AC418" s="9">
        <v>42045</v>
      </c>
      <c r="AD418" s="10"/>
      <c r="AE418" s="31" t="s">
        <v>3307</v>
      </c>
    </row>
    <row r="419" spans="1:31" ht="12.75">
      <c r="A419" s="4" t="s">
        <v>3308</v>
      </c>
      <c r="B419" s="1" t="s">
        <v>5128</v>
      </c>
      <c r="C419" s="1" t="s">
        <v>3309</v>
      </c>
      <c r="D419" s="1" t="s">
        <v>3310</v>
      </c>
      <c r="E419" s="2">
        <v>587</v>
      </c>
      <c r="F419" s="2">
        <v>65</v>
      </c>
      <c r="G419" s="3" t="s">
        <v>3311</v>
      </c>
      <c r="H419" s="3" t="s">
        <v>3312</v>
      </c>
      <c r="I419" s="3" t="s">
        <v>3313</v>
      </c>
      <c r="J419" s="44" t="str">
        <f>HYPERLINK("https://www.centcols.org/util/geo/visuGen.php?code=FR-34-0587","FR-34-0587")</f>
        <v>FR-34-0587</v>
      </c>
      <c r="K419" s="3" t="s">
        <v>3314</v>
      </c>
      <c r="L419" s="1" t="s">
        <v>3315</v>
      </c>
      <c r="M419" s="8">
        <v>0</v>
      </c>
      <c r="N419" s="8">
        <v>0</v>
      </c>
      <c r="O419" s="4"/>
      <c r="P419" s="3"/>
      <c r="Q419" s="3" t="s">
        <v>3316</v>
      </c>
      <c r="R419" s="3" t="s">
        <v>3317</v>
      </c>
      <c r="S419" s="25">
        <v>2.721898842849528</v>
      </c>
      <c r="T419" s="25">
        <v>43.50393464125281</v>
      </c>
      <c r="U419" s="2">
        <v>31</v>
      </c>
      <c r="V419" s="3">
        <v>477519</v>
      </c>
      <c r="W419" s="3">
        <v>4816816</v>
      </c>
      <c r="X419" s="25">
        <v>0.4281168602990865</v>
      </c>
      <c r="Y419" s="25">
        <v>48.33771120780293</v>
      </c>
      <c r="Z419" s="6"/>
      <c r="AA419" s="7" t="s">
        <v>5138</v>
      </c>
      <c r="AB419" s="8" t="s">
        <v>5571</v>
      </c>
      <c r="AC419" s="9">
        <v>41219</v>
      </c>
      <c r="AD419" s="10">
        <v>1</v>
      </c>
      <c r="AE419" s="31" t="s">
        <v>4128</v>
      </c>
    </row>
    <row r="420" spans="1:31" ht="12.75">
      <c r="A420" s="4" t="s">
        <v>3318</v>
      </c>
      <c r="B420" s="1" t="s">
        <v>6241</v>
      </c>
      <c r="C420" s="1" t="s">
        <v>3319</v>
      </c>
      <c r="D420" s="1" t="s">
        <v>3320</v>
      </c>
      <c r="E420" s="2">
        <v>604</v>
      </c>
      <c r="F420" s="2">
        <v>65</v>
      </c>
      <c r="G420" s="3" t="s">
        <v>3311</v>
      </c>
      <c r="H420" s="3" t="s">
        <v>3321</v>
      </c>
      <c r="I420" s="3" t="s">
        <v>3322</v>
      </c>
      <c r="J420" s="44" t="str">
        <f>HYPERLINK("https://www.centcols.org/util/geo/visuGen.php?code=FR-34-0604","FR-34-0604")</f>
        <v>FR-34-0604</v>
      </c>
      <c r="K420" s="3" t="s">
        <v>3323</v>
      </c>
      <c r="L420" s="1" t="s">
        <v>3324</v>
      </c>
      <c r="M420" s="8">
        <v>0</v>
      </c>
      <c r="N420" s="8">
        <v>0</v>
      </c>
      <c r="O420" s="4"/>
      <c r="P420" s="3"/>
      <c r="Q420" s="3" t="s">
        <v>3325</v>
      </c>
      <c r="R420" s="3" t="s">
        <v>3326</v>
      </c>
      <c r="S420" s="25">
        <v>2.847379</v>
      </c>
      <c r="T420" s="25">
        <v>43.467283</v>
      </c>
      <c r="U420" s="2">
        <v>31</v>
      </c>
      <c r="V420" s="3">
        <v>487655</v>
      </c>
      <c r="W420" s="3">
        <v>4812719</v>
      </c>
      <c r="X420" s="25">
        <v>0.567535</v>
      </c>
      <c r="Y420" s="25">
        <v>48.296984</v>
      </c>
      <c r="Z420" s="6"/>
      <c r="AA420" s="7" t="s">
        <v>5138</v>
      </c>
      <c r="AB420" s="8">
        <v>2016</v>
      </c>
      <c r="AC420" s="9">
        <v>42593</v>
      </c>
      <c r="AD420" s="10"/>
      <c r="AE420" s="31" t="s">
        <v>3327</v>
      </c>
    </row>
    <row r="421" spans="1:31" ht="12.75">
      <c r="A421" s="4" t="s">
        <v>3328</v>
      </c>
      <c r="B421" s="1" t="s">
        <v>5704</v>
      </c>
      <c r="C421" s="1" t="s">
        <v>3329</v>
      </c>
      <c r="D421" s="1" t="s">
        <v>3330</v>
      </c>
      <c r="E421" s="2">
        <v>616</v>
      </c>
      <c r="F421" s="2">
        <v>65</v>
      </c>
      <c r="G421" s="3" t="s">
        <v>3331</v>
      </c>
      <c r="H421" s="3" t="s">
        <v>3332</v>
      </c>
      <c r="I421" s="3" t="s">
        <v>3333</v>
      </c>
      <c r="J421" s="44" t="str">
        <f>HYPERLINK("https://www.centcols.org/util/geo/visuGen.php?code=FR-34-0616a","FR-34-0616a")</f>
        <v>FR-34-0616a</v>
      </c>
      <c r="K421" s="3" t="s">
        <v>3334</v>
      </c>
      <c r="L421" s="1" t="s">
        <v>3335</v>
      </c>
      <c r="M421" s="8">
        <v>0</v>
      </c>
      <c r="N421" s="8">
        <v>0</v>
      </c>
      <c r="O421" s="4"/>
      <c r="P421" s="3"/>
      <c r="Q421" s="3" t="s">
        <v>3336</v>
      </c>
      <c r="R421" s="3" t="s">
        <v>3337</v>
      </c>
      <c r="S421" s="25">
        <v>3.307394889555199</v>
      </c>
      <c r="T421" s="25">
        <v>43.83116313114106</v>
      </c>
      <c r="U421" s="2">
        <v>31</v>
      </c>
      <c r="V421" s="3">
        <v>524715</v>
      </c>
      <c r="W421" s="3">
        <v>4853167</v>
      </c>
      <c r="X421" s="25">
        <v>1.0786491390326383</v>
      </c>
      <c r="Y421" s="25">
        <v>48.701300231198815</v>
      </c>
      <c r="Z421" s="6"/>
      <c r="AA421" s="7" t="s">
        <v>5138</v>
      </c>
      <c r="AB421" s="8">
        <v>2014</v>
      </c>
      <c r="AC421" s="9">
        <v>41769</v>
      </c>
      <c r="AD421" s="10"/>
      <c r="AE421" s="31" t="s">
        <v>3338</v>
      </c>
    </row>
    <row r="422" spans="1:31" ht="12.75">
      <c r="A422" s="4" t="s">
        <v>3339</v>
      </c>
      <c r="B422" s="1" t="s">
        <v>5262</v>
      </c>
      <c r="C422" s="1" t="s">
        <v>3340</v>
      </c>
      <c r="D422" s="1" t="s">
        <v>3340</v>
      </c>
      <c r="E422" s="2">
        <v>630</v>
      </c>
      <c r="F422" s="2">
        <v>65</v>
      </c>
      <c r="G422" s="3" t="s">
        <v>3311</v>
      </c>
      <c r="H422" s="3" t="s">
        <v>3341</v>
      </c>
      <c r="I422" s="3" t="s">
        <v>3342</v>
      </c>
      <c r="J422" s="44" t="str">
        <f>HYPERLINK("https://www.centcols.org/util/geo/visuGen.php?code=FR-34-0630","FR-34-0630")</f>
        <v>FR-34-0630</v>
      </c>
      <c r="K422" s="3"/>
      <c r="L422" s="1" t="s">
        <v>5257</v>
      </c>
      <c r="M422" s="8">
        <v>35</v>
      </c>
      <c r="N422" s="8">
        <v>10</v>
      </c>
      <c r="O422" s="4"/>
      <c r="P422" s="3"/>
      <c r="Q422" s="3" t="s">
        <v>3343</v>
      </c>
      <c r="R422" s="3" t="s">
        <v>3344</v>
      </c>
      <c r="S422" s="25">
        <v>2.731801</v>
      </c>
      <c r="T422" s="25">
        <v>43.421143</v>
      </c>
      <c r="U422" s="2">
        <v>31</v>
      </c>
      <c r="V422" s="3">
        <v>478289</v>
      </c>
      <c r="W422" s="3">
        <v>4807619</v>
      </c>
      <c r="X422" s="25">
        <v>0.439118</v>
      </c>
      <c r="Y422" s="25">
        <v>48.245719</v>
      </c>
      <c r="Z422" s="6"/>
      <c r="AA422" s="7" t="s">
        <v>5138</v>
      </c>
      <c r="AB422" s="8">
        <v>2016</v>
      </c>
      <c r="AC422" s="9">
        <v>42593</v>
      </c>
      <c r="AD422" s="10"/>
      <c r="AE422" s="31" t="s">
        <v>3345</v>
      </c>
    </row>
    <row r="423" spans="1:31" ht="12.75">
      <c r="A423" s="4" t="s">
        <v>3346</v>
      </c>
      <c r="B423" s="1" t="s">
        <v>3347</v>
      </c>
      <c r="C423" s="1" t="s">
        <v>3348</v>
      </c>
      <c r="D423" s="1" t="s">
        <v>3349</v>
      </c>
      <c r="E423" s="2">
        <v>635</v>
      </c>
      <c r="F423" s="2">
        <v>65</v>
      </c>
      <c r="G423" s="3" t="s">
        <v>3350</v>
      </c>
      <c r="H423" s="3" t="s">
        <v>3351</v>
      </c>
      <c r="I423" s="3" t="s">
        <v>3352</v>
      </c>
      <c r="J423" s="44" t="str">
        <f>HYPERLINK("https://www.centcols.org/util/geo/visuGen.php?code=FR-34-0635a","FR-34-0635a")</f>
        <v>FR-34-0635a</v>
      </c>
      <c r="K423" s="3"/>
      <c r="L423" s="1" t="s">
        <v>5176</v>
      </c>
      <c r="M423" s="8">
        <v>99</v>
      </c>
      <c r="N423" s="8">
        <v>15</v>
      </c>
      <c r="O423" s="4"/>
      <c r="P423" s="3"/>
      <c r="Q423" s="3" t="s">
        <v>3353</v>
      </c>
      <c r="R423" s="3" t="s">
        <v>3354</v>
      </c>
      <c r="S423" s="25">
        <v>3.116442</v>
      </c>
      <c r="T423" s="25">
        <v>43.706023</v>
      </c>
      <c r="U423" s="2">
        <v>31</v>
      </c>
      <c r="V423" s="3">
        <v>509382</v>
      </c>
      <c r="W423" s="3">
        <v>4839229</v>
      </c>
      <c r="X423" s="25">
        <v>0.866487</v>
      </c>
      <c r="Y423" s="25">
        <v>48.562254</v>
      </c>
      <c r="Z423" s="6"/>
      <c r="AA423" s="7" t="s">
        <v>5138</v>
      </c>
      <c r="AB423" s="8">
        <v>2015</v>
      </c>
      <c r="AC423" s="9">
        <v>42045</v>
      </c>
      <c r="AD423" s="10"/>
      <c r="AE423" s="31" t="s">
        <v>3355</v>
      </c>
    </row>
    <row r="424" spans="1:31" ht="12.75">
      <c r="A424" s="4" t="s">
        <v>3356</v>
      </c>
      <c r="B424" s="1" t="s">
        <v>5815</v>
      </c>
      <c r="C424" s="1" t="s">
        <v>3357</v>
      </c>
      <c r="D424" s="1" t="s">
        <v>3358</v>
      </c>
      <c r="E424" s="2">
        <v>715</v>
      </c>
      <c r="F424" s="2">
        <v>65</v>
      </c>
      <c r="G424" s="3" t="s">
        <v>3311</v>
      </c>
      <c r="H424" s="3" t="s">
        <v>3359</v>
      </c>
      <c r="I424" s="3" t="s">
        <v>3360</v>
      </c>
      <c r="J424" s="44" t="str">
        <f>HYPERLINK("https://www.centcols.org/util/geo/visuGen.php?code=FR-34-0715a","FR-34-0715a")</f>
        <v>FR-34-0715a</v>
      </c>
      <c r="K424" s="3" t="s">
        <v>3361</v>
      </c>
      <c r="L424" s="1" t="s">
        <v>3362</v>
      </c>
      <c r="M424" s="8">
        <v>0</v>
      </c>
      <c r="N424" s="8">
        <v>0</v>
      </c>
      <c r="O424" s="4"/>
      <c r="P424" s="3"/>
      <c r="Q424" s="3" t="s">
        <v>3363</v>
      </c>
      <c r="R424" s="3" t="s">
        <v>3364</v>
      </c>
      <c r="S424" s="25">
        <v>2.720119</v>
      </c>
      <c r="T424" s="25">
        <v>43.445175</v>
      </c>
      <c r="U424" s="2">
        <v>31</v>
      </c>
      <c r="V424" s="3">
        <v>477353</v>
      </c>
      <c r="W424" s="3">
        <v>4810291</v>
      </c>
      <c r="X424" s="25">
        <v>0.426138</v>
      </c>
      <c r="Y424" s="25">
        <v>48.272</v>
      </c>
      <c r="Z424" s="6"/>
      <c r="AA424" s="7" t="s">
        <v>5138</v>
      </c>
      <c r="AB424" s="8">
        <v>2011</v>
      </c>
      <c r="AC424" s="9"/>
      <c r="AD424" s="10">
        <v>1</v>
      </c>
      <c r="AE424" s="31" t="s">
        <v>3365</v>
      </c>
    </row>
    <row r="425" spans="1:31" ht="12.75">
      <c r="A425" s="4" t="s">
        <v>3366</v>
      </c>
      <c r="B425" s="1" t="s">
        <v>5262</v>
      </c>
      <c r="C425" s="1" t="s">
        <v>3367</v>
      </c>
      <c r="D425" s="1" t="s">
        <v>3367</v>
      </c>
      <c r="E425" s="2">
        <v>795</v>
      </c>
      <c r="F425" s="2">
        <v>65</v>
      </c>
      <c r="G425" s="3" t="s">
        <v>3368</v>
      </c>
      <c r="H425" s="3" t="s">
        <v>3369</v>
      </c>
      <c r="I425" s="3" t="s">
        <v>3370</v>
      </c>
      <c r="J425" s="44" t="str">
        <f>HYPERLINK("https://www.centcols.org/util/geo/visuGen.php?code=FR-34-0795","FR-34-0795")</f>
        <v>FR-34-0795</v>
      </c>
      <c r="K425" s="3" t="s">
        <v>3371</v>
      </c>
      <c r="L425" s="1" t="s">
        <v>3372</v>
      </c>
      <c r="M425" s="8">
        <v>0</v>
      </c>
      <c r="N425" s="8">
        <v>0</v>
      </c>
      <c r="O425" s="4"/>
      <c r="P425" s="3"/>
      <c r="Q425" s="3" t="s">
        <v>3373</v>
      </c>
      <c r="R425" s="3" t="s">
        <v>3374</v>
      </c>
      <c r="S425" s="25">
        <v>2.746703595613604</v>
      </c>
      <c r="T425" s="25">
        <v>43.58718870836969</v>
      </c>
      <c r="U425" s="2">
        <v>31</v>
      </c>
      <c r="V425" s="3">
        <v>479552</v>
      </c>
      <c r="W425" s="3">
        <v>4826056</v>
      </c>
      <c r="X425" s="25">
        <v>0.45567816588357424</v>
      </c>
      <c r="Y425" s="25">
        <v>48.430217233747115</v>
      </c>
      <c r="Z425" s="6"/>
      <c r="AA425" s="7" t="s">
        <v>5138</v>
      </c>
      <c r="AB425" s="8">
        <v>2005</v>
      </c>
      <c r="AC425" s="9"/>
      <c r="AD425" s="10">
        <v>1</v>
      </c>
      <c r="AE425" s="31" t="s">
        <v>3375</v>
      </c>
    </row>
    <row r="426" spans="1:31" ht="12.75">
      <c r="A426" s="4" t="s">
        <v>3376</v>
      </c>
      <c r="B426" s="1" t="s">
        <v>3377</v>
      </c>
      <c r="C426" s="1" t="s">
        <v>3378</v>
      </c>
      <c r="D426" s="1" t="s">
        <v>3379</v>
      </c>
      <c r="E426" s="2">
        <v>929</v>
      </c>
      <c r="F426" s="2">
        <v>65</v>
      </c>
      <c r="G426" s="3" t="s">
        <v>3311</v>
      </c>
      <c r="H426" s="3" t="s">
        <v>3380</v>
      </c>
      <c r="I426" s="3" t="s">
        <v>3381</v>
      </c>
      <c r="J426" s="44" t="str">
        <f>HYPERLINK("https://www.centcols.org/util/geo/visuGen.php?code=FR-34-0929","FR-34-0929")</f>
        <v>FR-34-0929</v>
      </c>
      <c r="K426" s="3"/>
      <c r="L426" s="1" t="s">
        <v>5257</v>
      </c>
      <c r="M426" s="8">
        <v>1</v>
      </c>
      <c r="N426" s="8">
        <v>10</v>
      </c>
      <c r="O426" s="4"/>
      <c r="P426" s="3"/>
      <c r="Q426" s="3" t="s">
        <v>3382</v>
      </c>
      <c r="R426" s="3" t="s">
        <v>3383</v>
      </c>
      <c r="S426" s="25">
        <v>2.785469</v>
      </c>
      <c r="T426" s="25">
        <v>43.544084</v>
      </c>
      <c r="U426" s="2">
        <v>31</v>
      </c>
      <c r="V426" s="3">
        <v>482669</v>
      </c>
      <c r="W426" s="3">
        <v>4821260</v>
      </c>
      <c r="X426" s="25">
        <v>0.498748</v>
      </c>
      <c r="Y426" s="25">
        <v>48.382321</v>
      </c>
      <c r="Z426" s="6"/>
      <c r="AA426" s="7" t="s">
        <v>5138</v>
      </c>
      <c r="AB426" s="8">
        <v>2017</v>
      </c>
      <c r="AC426" s="9"/>
      <c r="AD426" s="10"/>
      <c r="AE426" s="31" t="s">
        <v>3384</v>
      </c>
    </row>
    <row r="427" spans="1:31" ht="12.75">
      <c r="A427" s="4" t="s">
        <v>3385</v>
      </c>
      <c r="B427" s="1" t="s">
        <v>3386</v>
      </c>
      <c r="C427" s="1" t="s">
        <v>3387</v>
      </c>
      <c r="D427" s="1" t="s">
        <v>3388</v>
      </c>
      <c r="E427" s="2">
        <v>56</v>
      </c>
      <c r="F427" s="2">
        <v>16</v>
      </c>
      <c r="G427" s="3" t="s">
        <v>3389</v>
      </c>
      <c r="H427" s="3" t="s">
        <v>3390</v>
      </c>
      <c r="I427" s="3" t="s">
        <v>3391</v>
      </c>
      <c r="J427" s="44" t="str">
        <f>HYPERLINK("https://www.centcols.org/util/geo/visuGen.php?code=FR-35-0056","FR-35-0056")</f>
        <v>FR-35-0056</v>
      </c>
      <c r="K427" s="3" t="s">
        <v>3392</v>
      </c>
      <c r="L427" s="1" t="s">
        <v>5208</v>
      </c>
      <c r="M427" s="8">
        <v>0</v>
      </c>
      <c r="N427" s="8">
        <v>0</v>
      </c>
      <c r="O427" s="4"/>
      <c r="P427" s="3"/>
      <c r="Q427" s="3" t="s">
        <v>3393</v>
      </c>
      <c r="R427" s="3" t="s">
        <v>3394</v>
      </c>
      <c r="S427" s="25">
        <v>-1.857154</v>
      </c>
      <c r="T427" s="25">
        <v>48.485953</v>
      </c>
      <c r="U427" s="2">
        <v>30</v>
      </c>
      <c r="V427" s="3">
        <v>584447</v>
      </c>
      <c r="W427" s="3">
        <v>5370945</v>
      </c>
      <c r="X427" s="25">
        <v>-4.65946</v>
      </c>
      <c r="Y427" s="25">
        <v>53.873367</v>
      </c>
      <c r="Z427" s="6"/>
      <c r="AA427" s="7" t="s">
        <v>5138</v>
      </c>
      <c r="AB427" s="8">
        <v>2015</v>
      </c>
      <c r="AC427" s="9">
        <v>42297</v>
      </c>
      <c r="AD427" s="10"/>
      <c r="AE427" s="31" t="s">
        <v>3395</v>
      </c>
    </row>
    <row r="428" spans="1:31" ht="12.75">
      <c r="A428" s="50" t="s">
        <v>3396</v>
      </c>
      <c r="B428" s="62" t="s">
        <v>3397</v>
      </c>
      <c r="C428" s="62" t="s">
        <v>3398</v>
      </c>
      <c r="D428" s="62" t="s">
        <v>3399</v>
      </c>
      <c r="E428" s="24">
        <v>112</v>
      </c>
      <c r="F428" s="24">
        <v>16</v>
      </c>
      <c r="G428" s="24" t="s">
        <v>3400</v>
      </c>
      <c r="H428" s="24" t="s">
        <v>3401</v>
      </c>
      <c r="I428" s="24" t="s">
        <v>3402</v>
      </c>
      <c r="J428" s="44" t="str">
        <f>HYPERLINK("https://www.centcols.org/util/geo/visuGen.php?code=FR-35-0112","FR-35-0112")</f>
        <v>FR-35-0112</v>
      </c>
      <c r="K428" s="19"/>
      <c r="L428" s="62" t="s">
        <v>5257</v>
      </c>
      <c r="M428" s="24">
        <v>1</v>
      </c>
      <c r="N428" s="24">
        <v>10</v>
      </c>
      <c r="O428" s="18"/>
      <c r="P428" s="19"/>
      <c r="Q428" s="24" t="s">
        <v>3403</v>
      </c>
      <c r="R428" s="24" t="s">
        <v>7014</v>
      </c>
      <c r="S428" s="25">
        <v>-1.37533</v>
      </c>
      <c r="T428" s="25">
        <v>48.234702</v>
      </c>
      <c r="U428" s="24">
        <v>30</v>
      </c>
      <c r="V428" s="3">
        <v>620641</v>
      </c>
      <c r="W428" s="3">
        <v>5343663</v>
      </c>
      <c r="X428" s="25">
        <v>-4.12412</v>
      </c>
      <c r="Y428" s="25">
        <v>53.594195</v>
      </c>
      <c r="Z428" s="18"/>
      <c r="AA428" s="19" t="s">
        <v>5138</v>
      </c>
      <c r="AB428" s="11">
        <v>2019</v>
      </c>
      <c r="AC428" s="60">
        <v>43525</v>
      </c>
      <c r="AD428" s="54"/>
      <c r="AE428" s="61" t="s">
        <v>3404</v>
      </c>
    </row>
    <row r="429" spans="1:31" ht="12.75">
      <c r="A429" s="18" t="s">
        <v>3405</v>
      </c>
      <c r="B429" s="62" t="s">
        <v>5279</v>
      </c>
      <c r="C429" s="62" t="s">
        <v>5300</v>
      </c>
      <c r="D429" s="62" t="s">
        <v>3406</v>
      </c>
      <c r="E429" s="24">
        <v>87</v>
      </c>
      <c r="F429" s="24">
        <v>34</v>
      </c>
      <c r="G429" s="24" t="s">
        <v>3407</v>
      </c>
      <c r="H429" s="24" t="s">
        <v>3408</v>
      </c>
      <c r="I429" s="24" t="s">
        <v>3409</v>
      </c>
      <c r="J429" s="44" t="str">
        <f>HYPERLINK("https://www.centcols.org/util/geo/visuGen.php?code=FR-37-0087","FR-37-0087")</f>
        <v>FR-37-0087</v>
      </c>
      <c r="K429" s="24" t="s">
        <v>3410</v>
      </c>
      <c r="L429" s="62" t="s">
        <v>3411</v>
      </c>
      <c r="M429" s="24">
        <v>0</v>
      </c>
      <c r="N429" s="24">
        <v>0</v>
      </c>
      <c r="O429" s="18"/>
      <c r="P429" s="19"/>
      <c r="Q429" s="24" t="s">
        <v>3412</v>
      </c>
      <c r="R429" s="24" t="s">
        <v>7000</v>
      </c>
      <c r="S429" s="25">
        <v>0.51531005</v>
      </c>
      <c r="T429" s="25">
        <v>47.1263746</v>
      </c>
      <c r="U429" s="24">
        <v>31</v>
      </c>
      <c r="V429" s="3">
        <v>311550</v>
      </c>
      <c r="W429" s="3">
        <v>5222203</v>
      </c>
      <c r="X429" s="25">
        <v>-2.023497</v>
      </c>
      <c r="Y429" s="25">
        <v>52.36271</v>
      </c>
      <c r="Z429" s="18"/>
      <c r="AA429" s="19" t="s">
        <v>5138</v>
      </c>
      <c r="AB429" s="11">
        <v>2019</v>
      </c>
      <c r="AC429" s="60">
        <v>43525</v>
      </c>
      <c r="AD429" s="54"/>
      <c r="AE429" s="61" t="s">
        <v>3413</v>
      </c>
    </row>
    <row r="430" spans="1:31" ht="12.75">
      <c r="A430" s="4" t="s">
        <v>3414</v>
      </c>
      <c r="B430" s="1" t="s">
        <v>5262</v>
      </c>
      <c r="C430" s="1" t="s">
        <v>3415</v>
      </c>
      <c r="D430" s="1" t="s">
        <v>3415</v>
      </c>
      <c r="E430" s="2">
        <v>131</v>
      </c>
      <c r="F430" s="2">
        <v>34</v>
      </c>
      <c r="G430" s="3" t="s">
        <v>3407</v>
      </c>
      <c r="H430" s="3" t="s">
        <v>3416</v>
      </c>
      <c r="I430" s="3" t="s">
        <v>3417</v>
      </c>
      <c r="J430" s="44" t="str">
        <f>HYPERLINK("https://www.centcols.org/util/geo/visuGen.php?code=FR-37-0131","FR-37-0131")</f>
        <v>FR-37-0131</v>
      </c>
      <c r="K430" s="3"/>
      <c r="L430" s="1" t="s">
        <v>5138</v>
      </c>
      <c r="M430" s="8">
        <v>35</v>
      </c>
      <c r="N430" s="8">
        <v>10</v>
      </c>
      <c r="O430" s="4"/>
      <c r="P430" s="3"/>
      <c r="Q430" s="3" t="s">
        <v>3418</v>
      </c>
      <c r="R430" s="3" t="s">
        <v>3419</v>
      </c>
      <c r="S430" s="25">
        <v>0.418271</v>
      </c>
      <c r="T430" s="25">
        <v>46.980544</v>
      </c>
      <c r="U430" s="2">
        <v>31</v>
      </c>
      <c r="V430" s="3">
        <v>303656</v>
      </c>
      <c r="W430" s="3">
        <v>5206237</v>
      </c>
      <c r="X430" s="25">
        <v>-2.131314</v>
      </c>
      <c r="Y430" s="25">
        <v>52.200677</v>
      </c>
      <c r="Z430" s="6"/>
      <c r="AA430" s="7" t="s">
        <v>5138</v>
      </c>
      <c r="AB430" s="8" t="s">
        <v>5571</v>
      </c>
      <c r="AC430" s="9">
        <v>40940</v>
      </c>
      <c r="AD430" s="10">
        <v>1</v>
      </c>
      <c r="AE430" s="31" t="s">
        <v>3420</v>
      </c>
    </row>
    <row r="431" spans="1:31" ht="12.75">
      <c r="A431" s="4" t="s">
        <v>3421</v>
      </c>
      <c r="B431" s="1" t="s">
        <v>5981</v>
      </c>
      <c r="C431" s="1" t="s">
        <v>3422</v>
      </c>
      <c r="D431" s="1" t="s">
        <v>3423</v>
      </c>
      <c r="E431" s="2">
        <v>220</v>
      </c>
      <c r="F431" s="2">
        <v>51</v>
      </c>
      <c r="G431" s="3" t="s">
        <v>3424</v>
      </c>
      <c r="H431" s="3" t="s">
        <v>3425</v>
      </c>
      <c r="I431" s="3" t="s">
        <v>3426</v>
      </c>
      <c r="J431" s="44" t="str">
        <f>HYPERLINK("https://www.centcols.org/util/geo/visuGen.php?code=FR-38-0220","FR-38-0220")</f>
        <v>FR-38-0220</v>
      </c>
      <c r="K431" s="3" t="s">
        <v>3427</v>
      </c>
      <c r="L431" s="1" t="s">
        <v>3428</v>
      </c>
      <c r="M431" s="8">
        <v>0</v>
      </c>
      <c r="N431" s="8">
        <v>0</v>
      </c>
      <c r="O431" s="4"/>
      <c r="P431" s="3"/>
      <c r="Q431" s="3" t="s">
        <v>3429</v>
      </c>
      <c r="R431" s="3" t="s">
        <v>3430</v>
      </c>
      <c r="S431" s="25">
        <v>5.146237431041104</v>
      </c>
      <c r="T431" s="25">
        <v>45.78629983809774</v>
      </c>
      <c r="U431" s="2">
        <v>31</v>
      </c>
      <c r="V431" s="3">
        <v>666826</v>
      </c>
      <c r="W431" s="3">
        <v>5072544</v>
      </c>
      <c r="X431" s="25">
        <v>3.121756158139859</v>
      </c>
      <c r="Y431" s="25">
        <v>50.873696215940846</v>
      </c>
      <c r="Z431" s="6"/>
      <c r="AA431" s="7" t="s">
        <v>5138</v>
      </c>
      <c r="AB431" s="8">
        <v>2008</v>
      </c>
      <c r="AC431" s="9"/>
      <c r="AD431" s="10">
        <v>1</v>
      </c>
      <c r="AE431" s="31" t="s">
        <v>3431</v>
      </c>
    </row>
    <row r="432" spans="1:31" ht="12.75">
      <c r="A432" s="4" t="s">
        <v>3432</v>
      </c>
      <c r="B432" s="1" t="s">
        <v>5815</v>
      </c>
      <c r="C432" s="1" t="s">
        <v>3433</v>
      </c>
      <c r="D432" s="1" t="s">
        <v>3434</v>
      </c>
      <c r="E432" s="2">
        <v>402</v>
      </c>
      <c r="F432" s="2">
        <v>51</v>
      </c>
      <c r="G432" s="3" t="s">
        <v>3435</v>
      </c>
      <c r="H432" s="3" t="s">
        <v>3436</v>
      </c>
      <c r="I432" s="3" t="s">
        <v>3437</v>
      </c>
      <c r="J432" s="44" t="str">
        <f>HYPERLINK("https://www.centcols.org/util/geo/visuGen.php?code=FR-38-0402","FR-38-0402")</f>
        <v>FR-38-0402</v>
      </c>
      <c r="K432" s="3" t="s">
        <v>3438</v>
      </c>
      <c r="L432" s="1" t="s">
        <v>3439</v>
      </c>
      <c r="M432" s="8">
        <v>0</v>
      </c>
      <c r="N432" s="8">
        <v>0</v>
      </c>
      <c r="O432" s="4"/>
      <c r="P432" s="3"/>
      <c r="Q432" s="3" t="s">
        <v>3440</v>
      </c>
      <c r="R432" s="3" t="s">
        <v>3441</v>
      </c>
      <c r="S432" s="25">
        <v>5.621187075426422</v>
      </c>
      <c r="T432" s="25">
        <v>45.365023202353726</v>
      </c>
      <c r="U432" s="2">
        <v>31</v>
      </c>
      <c r="V432" s="3">
        <v>705273</v>
      </c>
      <c r="W432" s="3">
        <v>5026844</v>
      </c>
      <c r="X432" s="25">
        <v>3.6494560327303125</v>
      </c>
      <c r="Y432" s="25">
        <v>50.405603361817136</v>
      </c>
      <c r="Z432" s="6"/>
      <c r="AA432" s="7" t="s">
        <v>5138</v>
      </c>
      <c r="AB432" s="8">
        <v>2008</v>
      </c>
      <c r="AC432" s="9"/>
      <c r="AD432" s="10">
        <v>1</v>
      </c>
      <c r="AE432" s="31" t="s">
        <v>3442</v>
      </c>
    </row>
    <row r="433" spans="1:31" ht="12.75">
      <c r="A433" s="4" t="s">
        <v>3443</v>
      </c>
      <c r="B433" s="1" t="s">
        <v>3444</v>
      </c>
      <c r="C433" s="1" t="s">
        <v>3445</v>
      </c>
      <c r="D433" s="1" t="s">
        <v>3446</v>
      </c>
      <c r="E433" s="2">
        <v>501</v>
      </c>
      <c r="F433" s="2">
        <v>51</v>
      </c>
      <c r="G433" s="3" t="s">
        <v>3435</v>
      </c>
      <c r="H433" s="3" t="s">
        <v>3447</v>
      </c>
      <c r="I433" s="3" t="s">
        <v>3448</v>
      </c>
      <c r="J433" s="44" t="str">
        <f>HYPERLINK("https://www.centcols.org/util/geo/visuGen.php?code=FR-38-0501","FR-38-0501")</f>
        <v>FR-38-0501</v>
      </c>
      <c r="K433" s="3" t="s">
        <v>3449</v>
      </c>
      <c r="L433" s="1" t="s">
        <v>3450</v>
      </c>
      <c r="M433" s="8">
        <v>0</v>
      </c>
      <c r="N433" s="8">
        <v>0</v>
      </c>
      <c r="O433" s="4"/>
      <c r="P433" s="3"/>
      <c r="Q433" s="3" t="s">
        <v>3451</v>
      </c>
      <c r="R433" s="3" t="s">
        <v>3452</v>
      </c>
      <c r="S433" s="25">
        <v>5.592882847768022</v>
      </c>
      <c r="T433" s="25">
        <v>45.40018136374122</v>
      </c>
      <c r="U433" s="2">
        <v>31</v>
      </c>
      <c r="V433" s="3">
        <v>702930</v>
      </c>
      <c r="W433" s="3">
        <v>5030678</v>
      </c>
      <c r="X433" s="25">
        <v>3.6180077688830643</v>
      </c>
      <c r="Y433" s="25">
        <v>50.44466870791186</v>
      </c>
      <c r="Z433" s="6"/>
      <c r="AA433" s="7" t="s">
        <v>5138</v>
      </c>
      <c r="AB433" s="8">
        <v>2006</v>
      </c>
      <c r="AC433" s="9"/>
      <c r="AD433" s="10">
        <v>1</v>
      </c>
      <c r="AE433" s="31" t="s">
        <v>3453</v>
      </c>
    </row>
    <row r="434" spans="1:31" ht="12.75">
      <c r="A434" s="4" t="s">
        <v>3454</v>
      </c>
      <c r="B434" s="1" t="s">
        <v>5923</v>
      </c>
      <c r="C434" s="1" t="s">
        <v>3455</v>
      </c>
      <c r="D434" s="1" t="s">
        <v>3456</v>
      </c>
      <c r="E434" s="2">
        <v>526</v>
      </c>
      <c r="F434" s="2">
        <v>51</v>
      </c>
      <c r="G434" s="3" t="s">
        <v>3457</v>
      </c>
      <c r="H434" s="3" t="s">
        <v>3458</v>
      </c>
      <c r="I434" s="3" t="s">
        <v>3459</v>
      </c>
      <c r="J434" s="44" t="str">
        <f>HYPERLINK("https://www.centcols.org/util/geo/visuGen.php?code=FR-38-0526","FR-38-0526")</f>
        <v>FR-38-0526</v>
      </c>
      <c r="K434" s="3" t="s">
        <v>3460</v>
      </c>
      <c r="L434" s="1" t="s">
        <v>3461</v>
      </c>
      <c r="M434" s="8">
        <v>0</v>
      </c>
      <c r="N434" s="8">
        <v>0</v>
      </c>
      <c r="O434" s="4"/>
      <c r="P434" s="3"/>
      <c r="Q434" s="3" t="s">
        <v>3462</v>
      </c>
      <c r="R434" s="3" t="s">
        <v>3463</v>
      </c>
      <c r="S434" s="25">
        <v>5.569786404221091</v>
      </c>
      <c r="T434" s="25">
        <v>45.39687313887322</v>
      </c>
      <c r="U434" s="2">
        <v>31</v>
      </c>
      <c r="V434" s="3">
        <v>701135</v>
      </c>
      <c r="W434" s="3">
        <v>5030252</v>
      </c>
      <c r="X434" s="25">
        <v>3.592345725530134</v>
      </c>
      <c r="Y434" s="25">
        <v>50.4409929914423</v>
      </c>
      <c r="Z434" s="6"/>
      <c r="AA434" s="7" t="s">
        <v>5138</v>
      </c>
      <c r="AB434" s="8">
        <v>2006</v>
      </c>
      <c r="AC434" s="9"/>
      <c r="AD434" s="10">
        <v>1</v>
      </c>
      <c r="AE434" s="31" t="s">
        <v>3442</v>
      </c>
    </row>
    <row r="435" spans="1:31" ht="12.75">
      <c r="A435" s="4" t="s">
        <v>3464</v>
      </c>
      <c r="B435" s="1" t="s">
        <v>5923</v>
      </c>
      <c r="C435" s="1" t="s">
        <v>3465</v>
      </c>
      <c r="D435" s="1" t="s">
        <v>3466</v>
      </c>
      <c r="E435" s="2">
        <v>649</v>
      </c>
      <c r="F435" s="2">
        <v>51</v>
      </c>
      <c r="G435" s="3" t="s">
        <v>3435</v>
      </c>
      <c r="H435" s="3" t="s">
        <v>3467</v>
      </c>
      <c r="I435" s="3" t="s">
        <v>3468</v>
      </c>
      <c r="J435" s="44" t="str">
        <f>HYPERLINK("https://www.centcols.org/util/geo/visuGen.php?code=FR-38-0649","FR-38-0649")</f>
        <v>FR-38-0649</v>
      </c>
      <c r="K435" s="3" t="s">
        <v>3469</v>
      </c>
      <c r="L435" s="1" t="s">
        <v>3470</v>
      </c>
      <c r="M435" s="8">
        <v>0</v>
      </c>
      <c r="N435" s="8">
        <v>0</v>
      </c>
      <c r="O435" s="4"/>
      <c r="P435" s="3"/>
      <c r="Q435" s="3" t="s">
        <v>3471</v>
      </c>
      <c r="R435" s="3" t="s">
        <v>3472</v>
      </c>
      <c r="S435" s="25">
        <v>5.622031963380093</v>
      </c>
      <c r="T435" s="25">
        <v>45.41690874873881</v>
      </c>
      <c r="U435" s="2">
        <v>31</v>
      </c>
      <c r="V435" s="3">
        <v>705151</v>
      </c>
      <c r="W435" s="3">
        <v>5032610</v>
      </c>
      <c r="X435" s="25">
        <v>3.6503948913880806</v>
      </c>
      <c r="Y435" s="25">
        <v>50.46325474738656</v>
      </c>
      <c r="Z435" s="6"/>
      <c r="AA435" s="7" t="s">
        <v>5138</v>
      </c>
      <c r="AB435" s="8">
        <v>2006</v>
      </c>
      <c r="AC435" s="9"/>
      <c r="AD435" s="10">
        <v>1</v>
      </c>
      <c r="AE435" s="31" t="s">
        <v>3442</v>
      </c>
    </row>
    <row r="436" spans="1:31" ht="12.75">
      <c r="A436" s="18" t="s">
        <v>3473</v>
      </c>
      <c r="B436" s="20" t="s">
        <v>5704</v>
      </c>
      <c r="C436" s="20" t="s">
        <v>3474</v>
      </c>
      <c r="D436" s="20" t="s">
        <v>3475</v>
      </c>
      <c r="E436" s="19">
        <v>670</v>
      </c>
      <c r="F436" s="14">
        <v>52</v>
      </c>
      <c r="G436" s="19" t="s">
        <v>3476</v>
      </c>
      <c r="H436" s="19" t="s">
        <v>3477</v>
      </c>
      <c r="I436" s="19" t="s">
        <v>3478</v>
      </c>
      <c r="J436" s="44" t="str">
        <f>HYPERLINK("https://www.centcols.org/util/geo/visuGen.php?code=FR-38-0670","FR-38-0670")</f>
        <v>FR-38-0670</v>
      </c>
      <c r="K436" s="19"/>
      <c r="L436" s="20" t="s">
        <v>5176</v>
      </c>
      <c r="M436" s="19">
        <v>99</v>
      </c>
      <c r="N436" s="19">
        <v>15</v>
      </c>
      <c r="O436" s="18"/>
      <c r="P436" s="19"/>
      <c r="Q436" s="19" t="s">
        <v>3479</v>
      </c>
      <c r="R436" s="19" t="s">
        <v>3480</v>
      </c>
      <c r="S436" s="59">
        <v>5.633028</v>
      </c>
      <c r="T436" s="59">
        <v>45.031544</v>
      </c>
      <c r="U436" s="19">
        <v>31</v>
      </c>
      <c r="V436" s="3">
        <v>707409</v>
      </c>
      <c r="W436" s="3">
        <v>4989828</v>
      </c>
      <c r="X436" s="59">
        <v>3.66261</v>
      </c>
      <c r="Y436" s="119">
        <v>50.035065</v>
      </c>
      <c r="Z436" s="18"/>
      <c r="AA436" s="19" t="s">
        <v>5138</v>
      </c>
      <c r="AB436" s="11">
        <v>2018</v>
      </c>
      <c r="AC436" s="12">
        <v>43250</v>
      </c>
      <c r="AD436" s="54"/>
      <c r="AE436" s="23" t="s">
        <v>5269</v>
      </c>
    </row>
    <row r="437" spans="1:31" ht="12.75">
      <c r="A437" s="4" t="s">
        <v>3481</v>
      </c>
      <c r="B437" s="1" t="s">
        <v>5741</v>
      </c>
      <c r="C437" s="1" t="s">
        <v>3482</v>
      </c>
      <c r="D437" s="1" t="s">
        <v>3483</v>
      </c>
      <c r="E437" s="2">
        <v>750</v>
      </c>
      <c r="F437" s="2">
        <v>53</v>
      </c>
      <c r="G437" s="3" t="s">
        <v>3484</v>
      </c>
      <c r="H437" s="3" t="s">
        <v>3485</v>
      </c>
      <c r="I437" s="3" t="s">
        <v>3486</v>
      </c>
      <c r="J437" s="44" t="str">
        <f>HYPERLINK("https://www.centcols.org/util/geo/visuGen.php?code=FR-38-0911","FR-38-0911")</f>
        <v>FR-38-0911</v>
      </c>
      <c r="K437" s="3"/>
      <c r="L437" s="1" t="s">
        <v>3487</v>
      </c>
      <c r="M437" s="8">
        <v>99</v>
      </c>
      <c r="N437" s="8">
        <v>15</v>
      </c>
      <c r="O437" s="4"/>
      <c r="P437" s="3"/>
      <c r="Q437" s="3" t="s">
        <v>3488</v>
      </c>
      <c r="R437" s="3" t="s">
        <v>3489</v>
      </c>
      <c r="S437" s="25">
        <v>5.9566274625907365</v>
      </c>
      <c r="T437" s="25">
        <v>45.407237329062674</v>
      </c>
      <c r="U437" s="2">
        <v>31</v>
      </c>
      <c r="V437" s="3">
        <v>731370</v>
      </c>
      <c r="W437" s="3">
        <v>5032444</v>
      </c>
      <c r="X437" s="25">
        <v>4.022156109948637</v>
      </c>
      <c r="Y437" s="25">
        <v>50.45250686328388</v>
      </c>
      <c r="Z437" s="6"/>
      <c r="AA437" s="7" t="s">
        <v>5176</v>
      </c>
      <c r="AB437" s="8" t="s">
        <v>5711</v>
      </c>
      <c r="AC437" s="9"/>
      <c r="AD437" s="10">
        <v>1</v>
      </c>
      <c r="AE437" s="31" t="s">
        <v>3490</v>
      </c>
    </row>
    <row r="438" spans="1:31" ht="12.75">
      <c r="A438" s="4" t="s">
        <v>3491</v>
      </c>
      <c r="B438" s="1" t="s">
        <v>5262</v>
      </c>
      <c r="C438" s="1" t="s">
        <v>3492</v>
      </c>
      <c r="D438" s="1" t="s">
        <v>3492</v>
      </c>
      <c r="E438" s="2">
        <v>930</v>
      </c>
      <c r="F438" s="2">
        <v>54</v>
      </c>
      <c r="G438" s="3" t="s">
        <v>3493</v>
      </c>
      <c r="H438" s="3" t="s">
        <v>3494</v>
      </c>
      <c r="I438" s="3" t="s">
        <v>3495</v>
      </c>
      <c r="J438" s="44" t="str">
        <f>HYPERLINK("https://www.centcols.org/util/geo/visuGen.php?code=FR-38-0930a","FR-38-0930a")</f>
        <v>FR-38-0930a</v>
      </c>
      <c r="K438" s="3" t="s">
        <v>3496</v>
      </c>
      <c r="L438" s="1" t="s">
        <v>5157</v>
      </c>
      <c r="M438" s="8">
        <v>0</v>
      </c>
      <c r="N438" s="8">
        <v>0</v>
      </c>
      <c r="O438" s="4"/>
      <c r="P438" s="3"/>
      <c r="Q438" s="3" t="s">
        <v>3497</v>
      </c>
      <c r="R438" s="3" t="s">
        <v>3498</v>
      </c>
      <c r="S438" s="25">
        <v>5.759163</v>
      </c>
      <c r="T438" s="25">
        <v>44.949571</v>
      </c>
      <c r="U438" s="2">
        <v>31</v>
      </c>
      <c r="V438" s="3">
        <v>717655</v>
      </c>
      <c r="W438" s="3">
        <v>4981052</v>
      </c>
      <c r="X438" s="25">
        <v>3.802755</v>
      </c>
      <c r="Y438" s="25">
        <v>49.94398</v>
      </c>
      <c r="Z438" s="6"/>
      <c r="AA438" s="7" t="s">
        <v>5138</v>
      </c>
      <c r="AB438" s="8">
        <v>2018</v>
      </c>
      <c r="AC438" s="57">
        <v>43199</v>
      </c>
      <c r="AD438" s="10"/>
      <c r="AE438" s="31" t="s">
        <v>3499</v>
      </c>
    </row>
    <row r="439" spans="1:31" ht="12.75">
      <c r="A439" s="18" t="s">
        <v>3500</v>
      </c>
      <c r="B439" s="20" t="s">
        <v>5202</v>
      </c>
      <c r="C439" s="20" t="s">
        <v>3501</v>
      </c>
      <c r="D439" s="20" t="s">
        <v>3502</v>
      </c>
      <c r="E439" s="19">
        <v>940</v>
      </c>
      <c r="F439" s="14">
        <v>53</v>
      </c>
      <c r="G439" s="19" t="s">
        <v>3503</v>
      </c>
      <c r="H439" s="19" t="s">
        <v>3504</v>
      </c>
      <c r="I439" s="19" t="s">
        <v>3505</v>
      </c>
      <c r="J439" s="44" t="str">
        <f>HYPERLINK("https://www.centcols.org/util/geo/visuGen.php?code=FR-38-0940","FR-38-0940")</f>
        <v>FR-38-0940</v>
      </c>
      <c r="K439" s="19"/>
      <c r="L439" s="20" t="s">
        <v>5176</v>
      </c>
      <c r="M439" s="19">
        <v>99</v>
      </c>
      <c r="N439" s="19">
        <v>15</v>
      </c>
      <c r="O439" s="18"/>
      <c r="P439" s="19"/>
      <c r="Q439" s="19" t="s">
        <v>3506</v>
      </c>
      <c r="R439" s="19" t="s">
        <v>3507</v>
      </c>
      <c r="S439" s="59">
        <v>5.922082</v>
      </c>
      <c r="T439" s="59">
        <v>45.350551</v>
      </c>
      <c r="U439" s="19">
        <v>31</v>
      </c>
      <c r="V439" s="3">
        <v>728895</v>
      </c>
      <c r="W439" s="3">
        <v>5026048</v>
      </c>
      <c r="X439" s="59">
        <v>3.983774</v>
      </c>
      <c r="Y439" s="119">
        <v>50.389521</v>
      </c>
      <c r="Z439" s="18"/>
      <c r="AA439" s="19" t="s">
        <v>5138</v>
      </c>
      <c r="AB439" s="11">
        <v>2018</v>
      </c>
      <c r="AC439" s="12">
        <v>43250</v>
      </c>
      <c r="AD439" s="54"/>
      <c r="AE439" s="23" t="s">
        <v>3508</v>
      </c>
    </row>
    <row r="440" spans="1:31" ht="12.75">
      <c r="A440" s="4" t="s">
        <v>3509</v>
      </c>
      <c r="B440" s="1" t="s">
        <v>5704</v>
      </c>
      <c r="C440" s="1" t="s">
        <v>5895</v>
      </c>
      <c r="D440" s="1" t="s">
        <v>5896</v>
      </c>
      <c r="E440" s="2">
        <v>950</v>
      </c>
      <c r="F440" s="2">
        <v>52</v>
      </c>
      <c r="G440" s="3" t="s">
        <v>3510</v>
      </c>
      <c r="H440" s="3" t="s">
        <v>3511</v>
      </c>
      <c r="I440" s="3" t="s">
        <v>3512</v>
      </c>
      <c r="J440" s="44" t="str">
        <f>HYPERLINK("https://www.centcols.org/util/geo/visuGen.php?code=FR-38-0950a","FR-38-0950a")</f>
        <v>FR-38-0950a</v>
      </c>
      <c r="K440" s="3"/>
      <c r="L440" s="1" t="s">
        <v>3513</v>
      </c>
      <c r="M440" s="8">
        <v>1</v>
      </c>
      <c r="N440" s="8">
        <v>15</v>
      </c>
      <c r="O440" s="4"/>
      <c r="P440" s="3"/>
      <c r="Q440" s="3" t="s">
        <v>3514</v>
      </c>
      <c r="R440" s="3" t="s">
        <v>3515</v>
      </c>
      <c r="S440" s="25">
        <v>5.583768</v>
      </c>
      <c r="T440" s="25">
        <v>44.834305</v>
      </c>
      <c r="U440" s="2">
        <v>31</v>
      </c>
      <c r="V440" s="3">
        <v>704227</v>
      </c>
      <c r="W440" s="3">
        <v>4967792</v>
      </c>
      <c r="X440" s="25">
        <v>3.607876</v>
      </c>
      <c r="Y440" s="25">
        <v>49.815905</v>
      </c>
      <c r="Z440" s="6"/>
      <c r="AA440" s="7" t="s">
        <v>5176</v>
      </c>
      <c r="AB440" s="8" t="s">
        <v>5711</v>
      </c>
      <c r="AC440" s="9"/>
      <c r="AD440" s="10">
        <v>1</v>
      </c>
      <c r="AE440" s="31" t="s">
        <v>3516</v>
      </c>
    </row>
    <row r="441" spans="1:31" ht="12.75">
      <c r="A441" s="4" t="s">
        <v>3517</v>
      </c>
      <c r="B441" s="1" t="s">
        <v>5741</v>
      </c>
      <c r="C441" s="1" t="s">
        <v>3518</v>
      </c>
      <c r="D441" s="1" t="s">
        <v>3519</v>
      </c>
      <c r="E441" s="2">
        <v>990</v>
      </c>
      <c r="F441" s="2">
        <v>52</v>
      </c>
      <c r="G441" s="3" t="s">
        <v>3520</v>
      </c>
      <c r="H441" s="3" t="s">
        <v>3521</v>
      </c>
      <c r="I441" s="3" t="s">
        <v>3522</v>
      </c>
      <c r="J441" s="44" t="str">
        <f>HYPERLINK("https://www.centcols.org/util/geo/visuGen.php?code=FR-38-1015","FR-38-1015")</f>
        <v>FR-38-1015</v>
      </c>
      <c r="K441" s="3"/>
      <c r="L441" s="1" t="s">
        <v>3523</v>
      </c>
      <c r="M441" s="8">
        <v>2</v>
      </c>
      <c r="N441" s="8">
        <v>15</v>
      </c>
      <c r="O441" s="4"/>
      <c r="P441" s="3"/>
      <c r="Q441" s="3" t="s">
        <v>3524</v>
      </c>
      <c r="R441" s="3" t="s">
        <v>3525</v>
      </c>
      <c r="S441" s="25">
        <v>5.426616</v>
      </c>
      <c r="T441" s="25">
        <v>45.070061</v>
      </c>
      <c r="U441" s="2">
        <v>31</v>
      </c>
      <c r="V441" s="3">
        <v>691021</v>
      </c>
      <c r="W441" s="3">
        <v>4993598</v>
      </c>
      <c r="X441" s="25">
        <v>3.433271</v>
      </c>
      <c r="Y441" s="25">
        <v>50.077862</v>
      </c>
      <c r="Z441" s="6"/>
      <c r="AA441" s="7" t="s">
        <v>5176</v>
      </c>
      <c r="AB441" s="8" t="s">
        <v>5711</v>
      </c>
      <c r="AC441" s="9"/>
      <c r="AD441" s="10">
        <v>1</v>
      </c>
      <c r="AE441" s="31" t="s">
        <v>3526</v>
      </c>
    </row>
    <row r="442" spans="1:31" ht="12.75">
      <c r="A442" s="4" t="s">
        <v>3527</v>
      </c>
      <c r="B442" s="1" t="s">
        <v>5731</v>
      </c>
      <c r="C442" s="1" t="s">
        <v>3528</v>
      </c>
      <c r="D442" s="1" t="s">
        <v>3529</v>
      </c>
      <c r="E442" s="2">
        <v>1040</v>
      </c>
      <c r="F442" s="2">
        <v>52</v>
      </c>
      <c r="G442" s="3" t="s">
        <v>3476</v>
      </c>
      <c r="H442" s="3" t="s">
        <v>3530</v>
      </c>
      <c r="I442" s="3" t="s">
        <v>3531</v>
      </c>
      <c r="J442" s="44" t="str">
        <f>HYPERLINK("https://www.centcols.org/util/geo/visuGen.php?code=FR-38-1040a","FR-38-1040a")</f>
        <v>FR-38-1040a</v>
      </c>
      <c r="K442" s="3"/>
      <c r="L442" s="1" t="s">
        <v>2587</v>
      </c>
      <c r="M442" s="8">
        <v>40</v>
      </c>
      <c r="N442" s="8">
        <v>15</v>
      </c>
      <c r="O442" s="4"/>
      <c r="P442" s="3"/>
      <c r="Q442" s="3" t="s">
        <v>3532</v>
      </c>
      <c r="R442" s="3" t="s">
        <v>3533</v>
      </c>
      <c r="S442" s="25">
        <v>5.620776</v>
      </c>
      <c r="T442" s="25">
        <v>45.173369</v>
      </c>
      <c r="U442" s="2">
        <v>31</v>
      </c>
      <c r="V442" s="3">
        <v>705933</v>
      </c>
      <c r="W442" s="3">
        <v>5005551</v>
      </c>
      <c r="X442" s="25">
        <v>3.648999</v>
      </c>
      <c r="Y442" s="25">
        <v>50.192651</v>
      </c>
      <c r="Z442" s="6"/>
      <c r="AA442" s="7" t="s">
        <v>5176</v>
      </c>
      <c r="AB442" s="8" t="s">
        <v>5711</v>
      </c>
      <c r="AC442" s="9"/>
      <c r="AD442" s="10">
        <v>1</v>
      </c>
      <c r="AE442" s="31" t="s">
        <v>3526</v>
      </c>
    </row>
    <row r="443" spans="1:31" ht="12.75">
      <c r="A443" s="4" t="s">
        <v>3534</v>
      </c>
      <c r="B443" s="1" t="s">
        <v>5741</v>
      </c>
      <c r="C443" s="1" t="s">
        <v>3535</v>
      </c>
      <c r="D443" s="1" t="s">
        <v>3536</v>
      </c>
      <c r="E443" s="2">
        <v>940</v>
      </c>
      <c r="F443" s="2">
        <v>52</v>
      </c>
      <c r="G443" s="3" t="s">
        <v>3537</v>
      </c>
      <c r="H443" s="3" t="s">
        <v>3538</v>
      </c>
      <c r="I443" s="3" t="s">
        <v>3539</v>
      </c>
      <c r="J443" s="44" t="str">
        <f>HYPERLINK("https://www.centcols.org/util/geo/visuGen.php?code=FR-38-1040b","FR-38-1040b")</f>
        <v>FR-38-1040b</v>
      </c>
      <c r="K443" s="3"/>
      <c r="L443" s="1" t="s">
        <v>5726</v>
      </c>
      <c r="M443" s="8">
        <v>99</v>
      </c>
      <c r="N443" s="8">
        <v>15</v>
      </c>
      <c r="O443" s="4"/>
      <c r="P443" s="3"/>
      <c r="Q443" s="3" t="s">
        <v>3540</v>
      </c>
      <c r="R443" s="3" t="s">
        <v>3541</v>
      </c>
      <c r="S443" s="25">
        <v>5.627244764165605</v>
      </c>
      <c r="T443" s="25">
        <v>45.18064735785982</v>
      </c>
      <c r="U443" s="2">
        <v>31</v>
      </c>
      <c r="V443" s="3">
        <v>706415</v>
      </c>
      <c r="W443" s="3">
        <v>5006376</v>
      </c>
      <c r="X443" s="25">
        <v>3.656185972117693</v>
      </c>
      <c r="Y443" s="25">
        <v>50.200738238612075</v>
      </c>
      <c r="Z443" s="6"/>
      <c r="AA443" s="7" t="s">
        <v>5176</v>
      </c>
      <c r="AB443" s="8" t="s">
        <v>3542</v>
      </c>
      <c r="AC443" s="9"/>
      <c r="AD443" s="10">
        <v>1</v>
      </c>
      <c r="AE443" s="31" t="s">
        <v>3543</v>
      </c>
    </row>
    <row r="444" spans="1:31" ht="12.75">
      <c r="A444" s="4" t="s">
        <v>3544</v>
      </c>
      <c r="B444" s="1" t="s">
        <v>3545</v>
      </c>
      <c r="C444" s="1" t="s">
        <v>3546</v>
      </c>
      <c r="D444" s="1" t="s">
        <v>3547</v>
      </c>
      <c r="E444" s="2">
        <v>1088</v>
      </c>
      <c r="F444" s="2">
        <v>51</v>
      </c>
      <c r="G444" s="3" t="s">
        <v>3548</v>
      </c>
      <c r="H444" s="3" t="s">
        <v>3549</v>
      </c>
      <c r="I444" s="3" t="s">
        <v>3550</v>
      </c>
      <c r="J444" s="44" t="str">
        <f>HYPERLINK("https://www.centcols.org/util/geo/visuGen.php?code=FR-38-1088","FR-38-1088")</f>
        <v>FR-38-1088</v>
      </c>
      <c r="K444" s="3"/>
      <c r="L444" s="1" t="s">
        <v>5257</v>
      </c>
      <c r="M444" s="8">
        <v>1</v>
      </c>
      <c r="N444" s="8">
        <v>10</v>
      </c>
      <c r="O444" s="4"/>
      <c r="P444" s="3"/>
      <c r="Q444" s="3" t="s">
        <v>3551</v>
      </c>
      <c r="R444" s="3" t="s">
        <v>3552</v>
      </c>
      <c r="S444" s="25">
        <v>5.515984</v>
      </c>
      <c r="T444" s="25">
        <v>45.200854</v>
      </c>
      <c r="U444" s="2">
        <v>31</v>
      </c>
      <c r="V444" s="3">
        <v>697604</v>
      </c>
      <c r="W444" s="3">
        <v>5008343</v>
      </c>
      <c r="X444" s="25">
        <v>3.532566</v>
      </c>
      <c r="Y444" s="25">
        <v>50.22319</v>
      </c>
      <c r="Z444" s="6"/>
      <c r="AA444" s="7" t="s">
        <v>5176</v>
      </c>
      <c r="AB444" s="8" t="s">
        <v>5711</v>
      </c>
      <c r="AC444" s="9"/>
      <c r="AD444" s="10">
        <v>1</v>
      </c>
      <c r="AE444" s="31" t="s">
        <v>3526</v>
      </c>
    </row>
    <row r="445" spans="1:31" ht="12.75">
      <c r="A445" s="4" t="s">
        <v>3553</v>
      </c>
      <c r="B445" s="1" t="s">
        <v>3554</v>
      </c>
      <c r="C445" s="1" t="s">
        <v>3555</v>
      </c>
      <c r="D445" s="1" t="s">
        <v>3556</v>
      </c>
      <c r="E445" s="2">
        <v>1100</v>
      </c>
      <c r="F445" s="2">
        <v>52</v>
      </c>
      <c r="G445" s="3" t="s">
        <v>3476</v>
      </c>
      <c r="H445" s="3" t="s">
        <v>3557</v>
      </c>
      <c r="I445" s="3" t="s">
        <v>3558</v>
      </c>
      <c r="J445" s="44" t="str">
        <f>HYPERLINK("https://www.centcols.org/util/geo/visuGen.php?code=FR-38-1100","FR-38-1100")</f>
        <v>FR-38-1100</v>
      </c>
      <c r="K445" s="3"/>
      <c r="L445" s="1" t="s">
        <v>3487</v>
      </c>
      <c r="M445" s="8">
        <v>99</v>
      </c>
      <c r="N445" s="8">
        <v>15</v>
      </c>
      <c r="O445" s="4"/>
      <c r="P445" s="3"/>
      <c r="Q445" s="3" t="s">
        <v>3559</v>
      </c>
      <c r="R445" s="3" t="s">
        <v>3560</v>
      </c>
      <c r="S445" s="25">
        <v>5.622052</v>
      </c>
      <c r="T445" s="25">
        <v>45.175328</v>
      </c>
      <c r="U445" s="2">
        <v>31</v>
      </c>
      <c r="V445" s="3">
        <v>706026</v>
      </c>
      <c r="W445" s="3">
        <v>5005772</v>
      </c>
      <c r="X445" s="25">
        <v>3.650416</v>
      </c>
      <c r="Y445" s="25">
        <v>50.194827</v>
      </c>
      <c r="Z445" s="6"/>
      <c r="AA445" s="7" t="s">
        <v>5176</v>
      </c>
      <c r="AB445" s="8" t="s">
        <v>5711</v>
      </c>
      <c r="AC445" s="9"/>
      <c r="AD445" s="10">
        <v>1</v>
      </c>
      <c r="AE445" s="31" t="s">
        <v>3526</v>
      </c>
    </row>
    <row r="446" spans="1:31" ht="12.75">
      <c r="A446" s="4" t="s">
        <v>3561</v>
      </c>
      <c r="B446" s="1" t="s">
        <v>5574</v>
      </c>
      <c r="C446" s="1" t="s">
        <v>3562</v>
      </c>
      <c r="D446" s="1" t="s">
        <v>3563</v>
      </c>
      <c r="E446" s="2">
        <v>1150</v>
      </c>
      <c r="F446" s="2">
        <v>52</v>
      </c>
      <c r="G446" s="3" t="s">
        <v>2519</v>
      </c>
      <c r="H446" s="3" t="s">
        <v>3564</v>
      </c>
      <c r="I446" s="3" t="s">
        <v>3565</v>
      </c>
      <c r="J446" s="44" t="str">
        <f>HYPERLINK("https://www.centcols.org/util/geo/visuGen.php?code=FR-38-1150b","FR-38-1150b")</f>
        <v>FR-38-1150b</v>
      </c>
      <c r="K446" s="3"/>
      <c r="L446" s="1" t="s">
        <v>5176</v>
      </c>
      <c r="M446" s="8">
        <v>99</v>
      </c>
      <c r="N446" s="8">
        <v>15</v>
      </c>
      <c r="O446" s="4"/>
      <c r="P446" s="3"/>
      <c r="Q446" s="3" t="s">
        <v>3566</v>
      </c>
      <c r="R446" s="3" t="s">
        <v>3567</v>
      </c>
      <c r="S446" s="25">
        <v>5.569979122463397</v>
      </c>
      <c r="T446" s="25">
        <v>44.87270810459207</v>
      </c>
      <c r="U446" s="2">
        <v>31</v>
      </c>
      <c r="V446" s="3">
        <v>703002</v>
      </c>
      <c r="W446" s="3">
        <v>4972023</v>
      </c>
      <c r="X446" s="25">
        <v>3.5925561714687095</v>
      </c>
      <c r="Y446" s="25">
        <v>49.85857612285354</v>
      </c>
      <c r="Z446" s="6"/>
      <c r="AA446" s="7" t="s">
        <v>5138</v>
      </c>
      <c r="AB446" s="8">
        <v>2006</v>
      </c>
      <c r="AC446" s="9"/>
      <c r="AD446" s="10">
        <v>1</v>
      </c>
      <c r="AE446" s="31" t="s">
        <v>4538</v>
      </c>
    </row>
    <row r="447" spans="1:31" ht="12.75">
      <c r="A447" s="4" t="s">
        <v>3568</v>
      </c>
      <c r="B447" s="1" t="s">
        <v>5128</v>
      </c>
      <c r="C447" s="1" t="s">
        <v>3569</v>
      </c>
      <c r="D447" s="1" t="s">
        <v>3570</v>
      </c>
      <c r="E447" s="2">
        <v>1170</v>
      </c>
      <c r="F447" s="2">
        <v>52</v>
      </c>
      <c r="G447" s="3" t="s">
        <v>3476</v>
      </c>
      <c r="H447" s="3" t="s">
        <v>3571</v>
      </c>
      <c r="I447" s="3" t="s">
        <v>3572</v>
      </c>
      <c r="J447" s="44" t="str">
        <f>HYPERLINK("https://www.centcols.org/util/geo/visuGen.php?code=FR-38-1170","FR-38-1170")</f>
        <v>FR-38-1170</v>
      </c>
      <c r="K447" s="3" t="s">
        <v>3573</v>
      </c>
      <c r="L447" s="1" t="s">
        <v>5157</v>
      </c>
      <c r="M447" s="8">
        <v>0</v>
      </c>
      <c r="N447" s="8">
        <v>0</v>
      </c>
      <c r="O447" s="4"/>
      <c r="P447" s="3"/>
      <c r="Q447" s="3" t="s">
        <v>3574</v>
      </c>
      <c r="R447" s="3" t="s">
        <v>3575</v>
      </c>
      <c r="S447" s="25">
        <v>5.631356305380342</v>
      </c>
      <c r="T447" s="25">
        <v>45.171141811885484</v>
      </c>
      <c r="U447" s="2">
        <v>31</v>
      </c>
      <c r="V447" s="3">
        <v>706772</v>
      </c>
      <c r="W447" s="3">
        <v>5005331</v>
      </c>
      <c r="X447" s="25">
        <v>3.6607541424572423</v>
      </c>
      <c r="Y447" s="25">
        <v>50.190176325614075</v>
      </c>
      <c r="Z447" s="6"/>
      <c r="AA447" s="7" t="s">
        <v>5176</v>
      </c>
      <c r="AB447" s="8" t="s">
        <v>3576</v>
      </c>
      <c r="AC447" s="9"/>
      <c r="AD447" s="10">
        <v>1</v>
      </c>
      <c r="AE447" s="31" t="s">
        <v>3577</v>
      </c>
    </row>
    <row r="448" spans="1:31" ht="12.75">
      <c r="A448" s="4" t="s">
        <v>3578</v>
      </c>
      <c r="B448" s="1" t="s">
        <v>5741</v>
      </c>
      <c r="C448" s="1" t="s">
        <v>3579</v>
      </c>
      <c r="D448" s="1" t="s">
        <v>3580</v>
      </c>
      <c r="E448" s="2">
        <v>1286</v>
      </c>
      <c r="F448" s="2">
        <v>52</v>
      </c>
      <c r="G448" s="3" t="s">
        <v>2519</v>
      </c>
      <c r="H448" s="3" t="s">
        <v>3581</v>
      </c>
      <c r="I448" s="3" t="s">
        <v>3582</v>
      </c>
      <c r="J448" s="44" t="str">
        <f>HYPERLINK("https://www.centcols.org/util/geo/visuGen.php?code=FR-38-1290","FR-38-1290")</f>
        <v>FR-38-1290</v>
      </c>
      <c r="K448" s="3" t="s">
        <v>3583</v>
      </c>
      <c r="L448" s="1" t="s">
        <v>3584</v>
      </c>
      <c r="M448" s="8">
        <v>0</v>
      </c>
      <c r="N448" s="8">
        <v>0</v>
      </c>
      <c r="O448" s="4"/>
      <c r="P448" s="3"/>
      <c r="Q448" s="3" t="s">
        <v>3585</v>
      </c>
      <c r="R448" s="3" t="s">
        <v>3586</v>
      </c>
      <c r="S448" s="25">
        <v>5.56758</v>
      </c>
      <c r="T448" s="25">
        <v>44.894277</v>
      </c>
      <c r="U448" s="2">
        <v>31</v>
      </c>
      <c r="V448" s="3">
        <v>702737</v>
      </c>
      <c r="W448" s="3">
        <v>4974413</v>
      </c>
      <c r="X448" s="25">
        <v>3.589891</v>
      </c>
      <c r="Y448" s="25">
        <v>49.882542</v>
      </c>
      <c r="Z448" s="6"/>
      <c r="AA448" s="7" t="s">
        <v>5176</v>
      </c>
      <c r="AB448" s="8" t="s">
        <v>5571</v>
      </c>
      <c r="AC448" s="9"/>
      <c r="AD448" s="10">
        <v>1</v>
      </c>
      <c r="AE448" s="31" t="s">
        <v>3587</v>
      </c>
    </row>
    <row r="449" spans="1:31" ht="12.75">
      <c r="A449" s="4" t="s">
        <v>3588</v>
      </c>
      <c r="B449" s="1" t="s">
        <v>5589</v>
      </c>
      <c r="C449" s="1" t="s">
        <v>5805</v>
      </c>
      <c r="D449" s="1" t="s">
        <v>5806</v>
      </c>
      <c r="E449" s="2">
        <v>1292</v>
      </c>
      <c r="F449" s="2">
        <v>54</v>
      </c>
      <c r="G449" s="3" t="s">
        <v>2760</v>
      </c>
      <c r="H449" s="3" t="s">
        <v>3589</v>
      </c>
      <c r="I449" s="3" t="s">
        <v>3590</v>
      </c>
      <c r="J449" s="44" t="str">
        <f>HYPERLINK("https://www.centcols.org/util/geo/visuGen.php?code=FR-38-1308a","FR-38-1308a")</f>
        <v>FR-38-1308a</v>
      </c>
      <c r="K449" s="3" t="s">
        <v>3591</v>
      </c>
      <c r="L449" s="1" t="s">
        <v>3592</v>
      </c>
      <c r="M449" s="8">
        <v>0</v>
      </c>
      <c r="N449" s="8">
        <v>0</v>
      </c>
      <c r="O449" s="4"/>
      <c r="P449" s="3"/>
      <c r="Q449" s="3" t="s">
        <v>3593</v>
      </c>
      <c r="R449" s="3" t="s">
        <v>3594</v>
      </c>
      <c r="S449" s="25">
        <v>5.926429830172595</v>
      </c>
      <c r="T449" s="25">
        <v>44.72092547824514</v>
      </c>
      <c r="U449" s="2">
        <v>31</v>
      </c>
      <c r="V449" s="3">
        <v>731765</v>
      </c>
      <c r="W449" s="3">
        <v>4956116</v>
      </c>
      <c r="X449" s="25">
        <v>3.988599402782839</v>
      </c>
      <c r="Y449" s="25">
        <v>49.68992182882577</v>
      </c>
      <c r="Z449" s="6"/>
      <c r="AA449" s="7" t="s">
        <v>5176</v>
      </c>
      <c r="AB449" s="8" t="s">
        <v>3595</v>
      </c>
      <c r="AC449" s="9"/>
      <c r="AD449" s="10">
        <v>1</v>
      </c>
      <c r="AE449" s="31" t="s">
        <v>3596</v>
      </c>
    </row>
    <row r="450" spans="1:31" ht="12.75">
      <c r="A450" s="4" t="s">
        <v>3597</v>
      </c>
      <c r="B450" s="1" t="s">
        <v>5704</v>
      </c>
      <c r="C450" s="1" t="s">
        <v>5641</v>
      </c>
      <c r="D450" s="1" t="s">
        <v>3598</v>
      </c>
      <c r="E450" s="2">
        <v>1360</v>
      </c>
      <c r="F450" s="2">
        <v>52</v>
      </c>
      <c r="G450" s="3" t="s">
        <v>3476</v>
      </c>
      <c r="H450" s="3" t="s">
        <v>3599</v>
      </c>
      <c r="I450" s="3" t="s">
        <v>3600</v>
      </c>
      <c r="J450" s="44" t="str">
        <f>HYPERLINK("https://www.centcols.org/util/geo/visuGen.php?code=FR-38-1360","FR-38-1360")</f>
        <v>FR-38-1360</v>
      </c>
      <c r="K450" s="3"/>
      <c r="L450" s="1" t="s">
        <v>5726</v>
      </c>
      <c r="M450" s="8">
        <v>99</v>
      </c>
      <c r="N450" s="8">
        <v>15</v>
      </c>
      <c r="O450" s="4"/>
      <c r="P450" s="3"/>
      <c r="Q450" s="3" t="s">
        <v>3601</v>
      </c>
      <c r="R450" s="3" t="s">
        <v>3602</v>
      </c>
      <c r="S450" s="25">
        <v>5.630252417615456</v>
      </c>
      <c r="T450" s="25">
        <v>45.088777296958106</v>
      </c>
      <c r="U450" s="2">
        <v>31</v>
      </c>
      <c r="V450" s="3">
        <v>706984</v>
      </c>
      <c r="W450" s="3">
        <v>4996178</v>
      </c>
      <c r="X450" s="25">
        <v>3.6595269102785575</v>
      </c>
      <c r="Y450" s="25">
        <v>50.0986585335794</v>
      </c>
      <c r="Z450" s="6"/>
      <c r="AA450" s="7" t="s">
        <v>5138</v>
      </c>
      <c r="AB450" s="8">
        <v>2007</v>
      </c>
      <c r="AC450" s="9"/>
      <c r="AD450" s="10">
        <v>1</v>
      </c>
      <c r="AE450" s="31" t="s">
        <v>3603</v>
      </c>
    </row>
    <row r="451" spans="1:31" ht="12.75">
      <c r="A451" s="4" t="s">
        <v>3604</v>
      </c>
      <c r="B451" s="1" t="s">
        <v>6241</v>
      </c>
      <c r="C451" s="1" t="s">
        <v>3605</v>
      </c>
      <c r="D451" s="1" t="s">
        <v>3606</v>
      </c>
      <c r="E451" s="2">
        <v>1372</v>
      </c>
      <c r="F451" s="2">
        <v>53</v>
      </c>
      <c r="G451" s="3" t="s">
        <v>3503</v>
      </c>
      <c r="H451" s="3" t="s">
        <v>3607</v>
      </c>
      <c r="I451" s="3" t="s">
        <v>3608</v>
      </c>
      <c r="J451" s="44" t="str">
        <f>HYPERLINK("https://www.centcols.org/util/geo/visuGen.php?code=FR-38-1375","FR-38-1375")</f>
        <v>FR-38-1375</v>
      </c>
      <c r="K451" s="3"/>
      <c r="L451" s="1" t="s">
        <v>3609</v>
      </c>
      <c r="M451" s="8">
        <v>2</v>
      </c>
      <c r="N451" s="8">
        <v>10</v>
      </c>
      <c r="O451" s="4"/>
      <c r="P451" s="3"/>
      <c r="Q451" s="3" t="s">
        <v>3610</v>
      </c>
      <c r="R451" s="3" t="s">
        <v>3611</v>
      </c>
      <c r="S451" s="25">
        <v>5.800197567849293</v>
      </c>
      <c r="T451" s="25">
        <v>45.283488507351464</v>
      </c>
      <c r="U451" s="2">
        <v>31</v>
      </c>
      <c r="V451" s="3">
        <v>719607</v>
      </c>
      <c r="W451" s="3">
        <v>5018258</v>
      </c>
      <c r="X451" s="25">
        <v>3.8483474389349155</v>
      </c>
      <c r="Y451" s="25">
        <v>50.315</v>
      </c>
      <c r="Z451" s="6"/>
      <c r="AA451" s="7" t="s">
        <v>5176</v>
      </c>
      <c r="AB451" s="8" t="s">
        <v>5802</v>
      </c>
      <c r="AC451" s="9"/>
      <c r="AD451" s="10">
        <v>1</v>
      </c>
      <c r="AE451" s="31" t="s">
        <v>3612</v>
      </c>
    </row>
    <row r="452" spans="1:31" ht="12.75">
      <c r="A452" s="4" t="s">
        <v>3613</v>
      </c>
      <c r="B452" s="1" t="s">
        <v>3614</v>
      </c>
      <c r="C452" s="1" t="s">
        <v>3615</v>
      </c>
      <c r="D452" s="1" t="s">
        <v>3616</v>
      </c>
      <c r="E452" s="2">
        <v>1385</v>
      </c>
      <c r="F452" s="2">
        <v>52</v>
      </c>
      <c r="G452" s="3" t="s">
        <v>3520</v>
      </c>
      <c r="H452" s="3" t="s">
        <v>3617</v>
      </c>
      <c r="I452" s="3" t="s">
        <v>3618</v>
      </c>
      <c r="J452" s="44" t="str">
        <f>HYPERLINK("https://www.centcols.org/util/geo/visuGen.php?code=FR-38-1385a","FR-38-1385a")</f>
        <v>FR-38-1385a</v>
      </c>
      <c r="K452" s="3" t="s">
        <v>3619</v>
      </c>
      <c r="L452" s="1" t="s">
        <v>3819</v>
      </c>
      <c r="M452" s="8">
        <v>1</v>
      </c>
      <c r="N452" s="8">
        <v>10</v>
      </c>
      <c r="O452" s="4"/>
      <c r="P452" s="3"/>
      <c r="Q452" s="3" t="s">
        <v>3620</v>
      </c>
      <c r="R452" s="3" t="s">
        <v>3621</v>
      </c>
      <c r="S452" s="25">
        <v>5.497268</v>
      </c>
      <c r="T452" s="25">
        <v>45.103381</v>
      </c>
      <c r="U452" s="2">
        <v>31</v>
      </c>
      <c r="V452" s="3">
        <v>696469</v>
      </c>
      <c r="W452" s="3">
        <v>4997469</v>
      </c>
      <c r="X452" s="25">
        <v>3.511772</v>
      </c>
      <c r="Y452" s="25">
        <v>50.114885</v>
      </c>
      <c r="Z452" s="6"/>
      <c r="AA452" s="7" t="s">
        <v>5138</v>
      </c>
      <c r="AB452" s="8">
        <v>2017</v>
      </c>
      <c r="AC452" s="9"/>
      <c r="AD452" s="10"/>
      <c r="AE452" s="31" t="s">
        <v>3622</v>
      </c>
    </row>
    <row r="453" spans="1:31" ht="12.75">
      <c r="A453" s="4" t="s">
        <v>3623</v>
      </c>
      <c r="B453" s="1" t="s">
        <v>5731</v>
      </c>
      <c r="C453" s="1" t="s">
        <v>3624</v>
      </c>
      <c r="D453" s="1" t="s">
        <v>3625</v>
      </c>
      <c r="E453" s="2">
        <v>1542</v>
      </c>
      <c r="F453" s="2">
        <v>54</v>
      </c>
      <c r="G453" s="3" t="s">
        <v>3626</v>
      </c>
      <c r="H453" s="3" t="s">
        <v>3627</v>
      </c>
      <c r="I453" s="3" t="s">
        <v>3628</v>
      </c>
      <c r="J453" s="44" t="str">
        <f>HYPERLINK("https://www.centcols.org/util/geo/visuGen.php?code=FR-38-1542","FR-38-1542")</f>
        <v>FR-38-1542</v>
      </c>
      <c r="K453" s="3" t="s">
        <v>3629</v>
      </c>
      <c r="L453" s="1" t="s">
        <v>3630</v>
      </c>
      <c r="M453" s="8">
        <v>0</v>
      </c>
      <c r="N453" s="8">
        <v>0</v>
      </c>
      <c r="O453" s="4"/>
      <c r="P453" s="3"/>
      <c r="Q453" s="3" t="s">
        <v>3631</v>
      </c>
      <c r="R453" s="3" t="s">
        <v>3632</v>
      </c>
      <c r="S453" s="25">
        <v>6.041506395948298</v>
      </c>
      <c r="T453" s="25">
        <v>45.08032487410763</v>
      </c>
      <c r="U453" s="2">
        <v>32</v>
      </c>
      <c r="V453" s="3">
        <v>267152</v>
      </c>
      <c r="W453" s="3">
        <v>4996132</v>
      </c>
      <c r="X453" s="25">
        <v>4.11646170486673</v>
      </c>
      <c r="Y453" s="25">
        <v>50.089264858772665</v>
      </c>
      <c r="Z453" s="6"/>
      <c r="AA453" s="7" t="s">
        <v>5138</v>
      </c>
      <c r="AB453" s="8">
        <v>2011</v>
      </c>
      <c r="AC453" s="9"/>
      <c r="AD453" s="10">
        <v>1</v>
      </c>
      <c r="AE453" s="31" t="s">
        <v>3633</v>
      </c>
    </row>
    <row r="454" spans="1:31" ht="12.75">
      <c r="A454" s="18" t="s">
        <v>3634</v>
      </c>
      <c r="B454" s="62" t="s">
        <v>5741</v>
      </c>
      <c r="C454" s="62" t="s">
        <v>6193</v>
      </c>
      <c r="D454" s="62" t="s">
        <v>3149</v>
      </c>
      <c r="E454" s="24">
        <v>1563</v>
      </c>
      <c r="F454" s="24">
        <v>53</v>
      </c>
      <c r="G454" s="24" t="s">
        <v>3635</v>
      </c>
      <c r="H454" s="24" t="s">
        <v>3636</v>
      </c>
      <c r="I454" s="24" t="s">
        <v>3637</v>
      </c>
      <c r="J454" s="44" t="str">
        <f>HYPERLINK("https://www.centcols.org/util/geo/visuGen.php?code=FR-38-1563","FR-38-1563")</f>
        <v>FR-38-1563</v>
      </c>
      <c r="K454" s="19"/>
      <c r="L454" s="20"/>
      <c r="M454" s="24">
        <v>99</v>
      </c>
      <c r="N454" s="24">
        <v>20</v>
      </c>
      <c r="O454" s="18"/>
      <c r="P454" s="19"/>
      <c r="Q454" s="24" t="s">
        <v>3638</v>
      </c>
      <c r="R454" s="24" t="s">
        <v>6986</v>
      </c>
      <c r="S454" s="25">
        <v>5.806686</v>
      </c>
      <c r="T454" s="25">
        <v>45.382766</v>
      </c>
      <c r="U454" s="24">
        <v>31</v>
      </c>
      <c r="V454" s="3">
        <v>719731</v>
      </c>
      <c r="W454" s="3">
        <v>5029305</v>
      </c>
      <c r="X454" s="25">
        <v>3.855561</v>
      </c>
      <c r="Y454" s="25">
        <v>50.425317</v>
      </c>
      <c r="Z454" s="18"/>
      <c r="AA454" s="19" t="s">
        <v>5138</v>
      </c>
      <c r="AB454" s="11">
        <v>2019</v>
      </c>
      <c r="AC454" s="60">
        <v>43525</v>
      </c>
      <c r="AD454" s="54"/>
      <c r="AE454" s="61" t="s">
        <v>3639</v>
      </c>
    </row>
    <row r="455" spans="1:31" ht="12.75">
      <c r="A455" s="4" t="s">
        <v>3640</v>
      </c>
      <c r="B455" s="1" t="s">
        <v>5923</v>
      </c>
      <c r="C455" s="1" t="s">
        <v>3641</v>
      </c>
      <c r="D455" s="1" t="s">
        <v>3642</v>
      </c>
      <c r="E455" s="2">
        <v>1570</v>
      </c>
      <c r="F455" s="2">
        <v>52</v>
      </c>
      <c r="G455" s="3" t="s">
        <v>3643</v>
      </c>
      <c r="H455" s="3" t="s">
        <v>3644</v>
      </c>
      <c r="I455" s="3" t="s">
        <v>3645</v>
      </c>
      <c r="J455" s="44" t="str">
        <f>HYPERLINK("https://www.centcols.org/util/geo/visuGen.php?code=FR-38-1570","FR-38-1570")</f>
        <v>FR-38-1570</v>
      </c>
      <c r="K455" s="3"/>
      <c r="L455" s="1" t="s">
        <v>5176</v>
      </c>
      <c r="M455" s="8">
        <v>99</v>
      </c>
      <c r="N455" s="8">
        <v>15</v>
      </c>
      <c r="O455" s="4"/>
      <c r="P455" s="3"/>
      <c r="Q455" s="3" t="s">
        <v>3646</v>
      </c>
      <c r="R455" s="3" t="s">
        <v>3647</v>
      </c>
      <c r="S455" s="25">
        <v>5.61918339645906</v>
      </c>
      <c r="T455" s="25">
        <v>44.767743239655736</v>
      </c>
      <c r="U455" s="2">
        <v>31</v>
      </c>
      <c r="V455" s="3">
        <v>707265</v>
      </c>
      <c r="W455" s="3">
        <v>4960488</v>
      </c>
      <c r="X455" s="25">
        <v>3.6472247029613714</v>
      </c>
      <c r="Y455" s="25">
        <v>49.74194550474134</v>
      </c>
      <c r="Z455" s="6"/>
      <c r="AA455" s="7" t="s">
        <v>5176</v>
      </c>
      <c r="AB455" s="8" t="s">
        <v>5571</v>
      </c>
      <c r="AC455" s="9"/>
      <c r="AD455" s="10">
        <v>1</v>
      </c>
      <c r="AE455" s="31" t="s">
        <v>3648</v>
      </c>
    </row>
    <row r="456" spans="1:31" ht="12.75">
      <c r="A456" s="4" t="s">
        <v>3649</v>
      </c>
      <c r="B456" s="1" t="s">
        <v>5128</v>
      </c>
      <c r="C456" s="1" t="s">
        <v>3650</v>
      </c>
      <c r="D456" s="1" t="s">
        <v>3651</v>
      </c>
      <c r="E456" s="2">
        <v>1526</v>
      </c>
      <c r="F456" s="2">
        <v>52</v>
      </c>
      <c r="G456" s="3" t="s">
        <v>3510</v>
      </c>
      <c r="H456" s="3" t="s">
        <v>3652</v>
      </c>
      <c r="I456" s="3" t="s">
        <v>3653</v>
      </c>
      <c r="J456" s="44" t="str">
        <f>HYPERLINK("https://www.centcols.org/util/geo/visuGen.php?code=FR-38-1575","FR-38-1575")</f>
        <v>FR-38-1575</v>
      </c>
      <c r="K456" s="3"/>
      <c r="L456" s="1" t="s">
        <v>3654</v>
      </c>
      <c r="M456" s="8">
        <v>1</v>
      </c>
      <c r="N456" s="8">
        <v>10</v>
      </c>
      <c r="O456" s="4"/>
      <c r="P456" s="3"/>
      <c r="Q456" s="3" t="s">
        <v>3655</v>
      </c>
      <c r="R456" s="3" t="s">
        <v>3656</v>
      </c>
      <c r="S456" s="25">
        <v>5.737164</v>
      </c>
      <c r="T456" s="25">
        <v>44.915304</v>
      </c>
      <c r="U456" s="2">
        <v>31</v>
      </c>
      <c r="V456" s="3">
        <v>716048</v>
      </c>
      <c r="W456" s="3">
        <v>4977187</v>
      </c>
      <c r="X456" s="25">
        <v>3.778312</v>
      </c>
      <c r="Y456" s="25">
        <v>49.905906</v>
      </c>
      <c r="Z456" s="6"/>
      <c r="AA456" s="7" t="s">
        <v>5176</v>
      </c>
      <c r="AB456" s="8" t="s">
        <v>5571</v>
      </c>
      <c r="AC456" s="9"/>
      <c r="AD456" s="10">
        <v>1</v>
      </c>
      <c r="AE456" s="31" t="s">
        <v>3657</v>
      </c>
    </row>
    <row r="457" spans="1:31" ht="12.75">
      <c r="A457" s="4" t="s">
        <v>3658</v>
      </c>
      <c r="B457" s="1" t="s">
        <v>5704</v>
      </c>
      <c r="C457" s="1" t="s">
        <v>3659</v>
      </c>
      <c r="D457" s="1" t="s">
        <v>3660</v>
      </c>
      <c r="E457" s="2">
        <v>1622</v>
      </c>
      <c r="F457" s="2">
        <v>52</v>
      </c>
      <c r="G457" s="3" t="s">
        <v>5519</v>
      </c>
      <c r="H457" s="3" t="s">
        <v>3661</v>
      </c>
      <c r="I457" s="3" t="s">
        <v>3662</v>
      </c>
      <c r="J457" s="44" t="str">
        <f>HYPERLINK("https://www.centcols.org/util/geo/visuGen.php?code=FR-38-1640a","FR-38-1640a")</f>
        <v>FR-38-1640a</v>
      </c>
      <c r="K457" s="3"/>
      <c r="L457" s="1" t="s">
        <v>3663</v>
      </c>
      <c r="M457" s="8">
        <v>3</v>
      </c>
      <c r="N457" s="8">
        <v>15</v>
      </c>
      <c r="O457" s="4"/>
      <c r="P457" s="3"/>
      <c r="Q457" s="3" t="s">
        <v>3664</v>
      </c>
      <c r="R457" s="3" t="s">
        <v>3665</v>
      </c>
      <c r="S457" s="25">
        <v>5.512378</v>
      </c>
      <c r="T457" s="25">
        <v>44.809213</v>
      </c>
      <c r="U457" s="2">
        <v>31</v>
      </c>
      <c r="V457" s="3">
        <v>698670</v>
      </c>
      <c r="W457" s="3">
        <v>4964827</v>
      </c>
      <c r="X457" s="25">
        <v>3.528557</v>
      </c>
      <c r="Y457" s="25">
        <v>49.788024</v>
      </c>
      <c r="Z457" s="6"/>
      <c r="AA457" s="7" t="s">
        <v>5176</v>
      </c>
      <c r="AB457" s="8" t="s">
        <v>5711</v>
      </c>
      <c r="AC457" s="9"/>
      <c r="AD457" s="10">
        <v>1</v>
      </c>
      <c r="AE457" s="31" t="s">
        <v>3666</v>
      </c>
    </row>
    <row r="458" spans="1:31" ht="12.75">
      <c r="A458" s="4" t="s">
        <v>3667</v>
      </c>
      <c r="B458" s="1" t="s">
        <v>5656</v>
      </c>
      <c r="C458" s="1" t="s">
        <v>3668</v>
      </c>
      <c r="D458" s="1" t="s">
        <v>3669</v>
      </c>
      <c r="E458" s="2">
        <v>1700</v>
      </c>
      <c r="F458" s="2">
        <v>54</v>
      </c>
      <c r="G458" s="3" t="s">
        <v>3670</v>
      </c>
      <c r="H458" s="3" t="s">
        <v>3671</v>
      </c>
      <c r="I458" s="3" t="s">
        <v>3672</v>
      </c>
      <c r="J458" s="44" t="str">
        <f>HYPERLINK("https://www.centcols.org/util/geo/visuGen.php?code=FR-38-1700b","FR-38-1700b")</f>
        <v>FR-38-1700b</v>
      </c>
      <c r="K458" s="3" t="s">
        <v>3673</v>
      </c>
      <c r="L458" s="1" t="s">
        <v>3819</v>
      </c>
      <c r="M458" s="8">
        <v>0</v>
      </c>
      <c r="N458" s="8">
        <v>0</v>
      </c>
      <c r="O458" s="4"/>
      <c r="P458" s="3"/>
      <c r="Q458" s="3" t="s">
        <v>3674</v>
      </c>
      <c r="R458" s="3" t="s">
        <v>3675</v>
      </c>
      <c r="S458" s="25">
        <v>5.887797</v>
      </c>
      <c r="T458" s="25">
        <v>45.052173</v>
      </c>
      <c r="U458" s="2">
        <v>31</v>
      </c>
      <c r="V458" s="3">
        <v>727396</v>
      </c>
      <c r="W458" s="3">
        <v>4992804</v>
      </c>
      <c r="X458" s="25">
        <v>3.945679</v>
      </c>
      <c r="Y458" s="25">
        <v>50.057985</v>
      </c>
      <c r="Z458" s="6"/>
      <c r="AA458" s="7" t="s">
        <v>5176</v>
      </c>
      <c r="AB458" s="8" t="s">
        <v>5711</v>
      </c>
      <c r="AC458" s="9"/>
      <c r="AD458" s="10">
        <v>1</v>
      </c>
      <c r="AE458" s="31" t="s">
        <v>3676</v>
      </c>
    </row>
    <row r="459" spans="1:31" ht="12.75">
      <c r="A459" s="4" t="s">
        <v>3677</v>
      </c>
      <c r="B459" s="1" t="s">
        <v>5815</v>
      </c>
      <c r="C459" s="1" t="s">
        <v>3678</v>
      </c>
      <c r="D459" s="1" t="s">
        <v>3679</v>
      </c>
      <c r="E459" s="2">
        <v>1770</v>
      </c>
      <c r="F459" s="2">
        <v>54</v>
      </c>
      <c r="G459" s="3" t="s">
        <v>2760</v>
      </c>
      <c r="H459" s="3" t="s">
        <v>3680</v>
      </c>
      <c r="I459" s="3" t="s">
        <v>3681</v>
      </c>
      <c r="J459" s="44" t="str">
        <f>HYPERLINK("https://www.centcols.org/util/geo/visuGen.php?code=FR-38-1770","FR-38-1770")</f>
        <v>FR-38-1770</v>
      </c>
      <c r="K459" s="3"/>
      <c r="L459" s="1" t="s">
        <v>3682</v>
      </c>
      <c r="M459" s="8">
        <v>40</v>
      </c>
      <c r="N459" s="8">
        <v>15</v>
      </c>
      <c r="O459" s="4"/>
      <c r="P459" s="3"/>
      <c r="Q459" s="3" t="s">
        <v>3683</v>
      </c>
      <c r="R459" s="3" t="s">
        <v>3684</v>
      </c>
      <c r="S459" s="25">
        <v>5.8140000077574685</v>
      </c>
      <c r="T459" s="25">
        <v>44.809298263651904</v>
      </c>
      <c r="U459" s="2">
        <v>31</v>
      </c>
      <c r="V459" s="3">
        <v>722521</v>
      </c>
      <c r="W459" s="3">
        <v>4965619</v>
      </c>
      <c r="X459" s="25">
        <v>3.8636818552167274</v>
      </c>
      <c r="Y459" s="25">
        <v>49.788117755222885</v>
      </c>
      <c r="Z459" s="6"/>
      <c r="AA459" s="7" t="s">
        <v>5176</v>
      </c>
      <c r="AB459" s="8" t="s">
        <v>5802</v>
      </c>
      <c r="AC459" s="9"/>
      <c r="AD459" s="10">
        <v>1</v>
      </c>
      <c r="AE459" s="31" t="s">
        <v>3685</v>
      </c>
    </row>
    <row r="460" spans="1:31" ht="22.5">
      <c r="A460" s="4" t="s">
        <v>3686</v>
      </c>
      <c r="B460" s="1" t="s">
        <v>3687</v>
      </c>
      <c r="C460" s="1" t="s">
        <v>3688</v>
      </c>
      <c r="D460" s="1" t="s">
        <v>3689</v>
      </c>
      <c r="E460" s="2">
        <v>1790</v>
      </c>
      <c r="F460" s="2">
        <v>54</v>
      </c>
      <c r="G460" s="3" t="s">
        <v>3670</v>
      </c>
      <c r="H460" s="3" t="s">
        <v>3690</v>
      </c>
      <c r="I460" s="3" t="s">
        <v>3691</v>
      </c>
      <c r="J460" s="44" t="str">
        <f>HYPERLINK("https://www.centcols.org/util/geo/visuGen.php?code=FR-38-1790","FR-38-1790")</f>
        <v>FR-38-1790</v>
      </c>
      <c r="K460" s="3" t="s">
        <v>3692</v>
      </c>
      <c r="L460" s="1" t="s">
        <v>5157</v>
      </c>
      <c r="M460" s="8">
        <v>0</v>
      </c>
      <c r="N460" s="8">
        <v>0</v>
      </c>
      <c r="O460" s="4"/>
      <c r="P460" s="3"/>
      <c r="Q460" s="3" t="s">
        <v>3693</v>
      </c>
      <c r="R460" s="3" t="s">
        <v>3694</v>
      </c>
      <c r="S460" s="25">
        <v>5.878663</v>
      </c>
      <c r="T460" s="25">
        <v>45.114755</v>
      </c>
      <c r="U460" s="2">
        <v>31</v>
      </c>
      <c r="V460" s="3">
        <v>726429</v>
      </c>
      <c r="W460" s="3">
        <v>4999730</v>
      </c>
      <c r="X460" s="25">
        <v>3.935531</v>
      </c>
      <c r="Y460" s="25">
        <v>50.127522</v>
      </c>
      <c r="Z460" s="6"/>
      <c r="AA460" s="7" t="s">
        <v>5138</v>
      </c>
      <c r="AB460" s="8">
        <v>2016</v>
      </c>
      <c r="AC460" s="9">
        <v>42593</v>
      </c>
      <c r="AD460" s="10"/>
      <c r="AE460" s="31" t="s">
        <v>3695</v>
      </c>
    </row>
    <row r="461" spans="1:31" ht="12.75">
      <c r="A461" s="4" t="s">
        <v>3696</v>
      </c>
      <c r="B461" s="1" t="s">
        <v>5731</v>
      </c>
      <c r="C461" s="1" t="s">
        <v>3697</v>
      </c>
      <c r="D461" s="1" t="s">
        <v>3698</v>
      </c>
      <c r="E461" s="2">
        <v>1800</v>
      </c>
      <c r="F461" s="2">
        <v>52</v>
      </c>
      <c r="G461" s="3" t="s">
        <v>3520</v>
      </c>
      <c r="H461" s="3" t="s">
        <v>3699</v>
      </c>
      <c r="I461" s="3" t="s">
        <v>3700</v>
      </c>
      <c r="J461" s="44" t="str">
        <f>HYPERLINK("https://www.centcols.org/util/geo/visuGen.php?code=FR-38-1800","FR-38-1800")</f>
        <v>FR-38-1800</v>
      </c>
      <c r="K461" s="3"/>
      <c r="L461" s="1" t="s">
        <v>5726</v>
      </c>
      <c r="M461" s="8">
        <v>99</v>
      </c>
      <c r="N461" s="8">
        <v>15</v>
      </c>
      <c r="O461" s="4"/>
      <c r="P461" s="3"/>
      <c r="Q461" s="3" t="s">
        <v>3701</v>
      </c>
      <c r="R461" s="3" t="s">
        <v>3702</v>
      </c>
      <c r="S461" s="25">
        <v>5.554103</v>
      </c>
      <c r="T461" s="25">
        <v>45.009049</v>
      </c>
      <c r="U461" s="2">
        <v>31</v>
      </c>
      <c r="V461" s="3">
        <v>701271</v>
      </c>
      <c r="W461" s="3">
        <v>4987129</v>
      </c>
      <c r="X461" s="25">
        <v>3.574918</v>
      </c>
      <c r="Y461" s="25">
        <v>50.01007</v>
      </c>
      <c r="Z461" s="6"/>
      <c r="AA461" s="7" t="s">
        <v>5138</v>
      </c>
      <c r="AB461" s="8">
        <v>2017</v>
      </c>
      <c r="AC461" s="9"/>
      <c r="AD461" s="10"/>
      <c r="AE461" s="31" t="s">
        <v>3218</v>
      </c>
    </row>
    <row r="462" spans="1:31" ht="12.75">
      <c r="A462" s="4" t="s">
        <v>3703</v>
      </c>
      <c r="B462" s="1" t="s">
        <v>5262</v>
      </c>
      <c r="C462" s="1" t="s">
        <v>3704</v>
      </c>
      <c r="D462" s="1" t="s">
        <v>3704</v>
      </c>
      <c r="E462" s="2">
        <v>1947</v>
      </c>
      <c r="F462" s="2">
        <v>52</v>
      </c>
      <c r="G462" s="3" t="s">
        <v>3476</v>
      </c>
      <c r="H462" s="3" t="s">
        <v>3705</v>
      </c>
      <c r="I462" s="3" t="s">
        <v>3706</v>
      </c>
      <c r="J462" s="44" t="str">
        <f>HYPERLINK("https://www.centcols.org/util/geo/visuGen.php?code=FR-38-1947","FR-38-1947")</f>
        <v>FR-38-1947</v>
      </c>
      <c r="K462" s="3"/>
      <c r="L462" s="1" t="s">
        <v>5746</v>
      </c>
      <c r="M462" s="8">
        <v>99</v>
      </c>
      <c r="N462" s="8">
        <v>20</v>
      </c>
      <c r="O462" s="4"/>
      <c r="P462" s="3"/>
      <c r="Q462" s="3" t="s">
        <v>3707</v>
      </c>
      <c r="R462" s="3" t="s">
        <v>3708</v>
      </c>
      <c r="S462" s="25">
        <v>5.585284</v>
      </c>
      <c r="T462" s="25">
        <v>45.019847</v>
      </c>
      <c r="U462" s="2">
        <v>31</v>
      </c>
      <c r="V462" s="3">
        <v>703690</v>
      </c>
      <c r="W462" s="3">
        <v>4988407</v>
      </c>
      <c r="X462" s="25">
        <v>3.609563</v>
      </c>
      <c r="Y462" s="25">
        <v>50.022068</v>
      </c>
      <c r="Z462" s="6"/>
      <c r="AA462" s="7" t="s">
        <v>5176</v>
      </c>
      <c r="AB462" s="8">
        <v>2016</v>
      </c>
      <c r="AC462" s="9"/>
      <c r="AD462" s="10"/>
      <c r="AE462" s="31" t="s">
        <v>3709</v>
      </c>
    </row>
    <row r="463" spans="1:31" ht="12.75">
      <c r="A463" s="4" t="s">
        <v>3710</v>
      </c>
      <c r="B463" s="1" t="s">
        <v>3711</v>
      </c>
      <c r="C463" s="1" t="s">
        <v>3712</v>
      </c>
      <c r="D463" s="1" t="s">
        <v>3713</v>
      </c>
      <c r="E463" s="2">
        <v>1966</v>
      </c>
      <c r="F463" s="2">
        <v>53</v>
      </c>
      <c r="G463" s="3" t="s">
        <v>3714</v>
      </c>
      <c r="H463" s="3" t="s">
        <v>3715</v>
      </c>
      <c r="I463" s="3" t="s">
        <v>3716</v>
      </c>
      <c r="J463" s="44" t="str">
        <f>HYPERLINK("https://www.centcols.org/util/geo/visuGen.php?code=FR-38-1966a","FR-38-1966a")</f>
        <v>FR-38-1966a</v>
      </c>
      <c r="K463" s="3"/>
      <c r="L463" s="1"/>
      <c r="M463" s="8">
        <v>99</v>
      </c>
      <c r="N463" s="8">
        <v>20</v>
      </c>
      <c r="O463" s="4"/>
      <c r="P463" s="3"/>
      <c r="Q463" s="3" t="s">
        <v>3717</v>
      </c>
      <c r="R463" s="3" t="s">
        <v>3718</v>
      </c>
      <c r="S463" s="25">
        <v>6.0999361832254335</v>
      </c>
      <c r="T463" s="25">
        <v>45.185089264089264</v>
      </c>
      <c r="U463" s="2">
        <v>32</v>
      </c>
      <c r="V463" s="3">
        <v>272168</v>
      </c>
      <c r="W463" s="3">
        <v>5007604</v>
      </c>
      <c r="X463" s="25">
        <v>4.181381676114113</v>
      </c>
      <c r="Y463" s="25">
        <v>50.20567192752985</v>
      </c>
      <c r="Z463" s="6"/>
      <c r="AA463" s="7" t="s">
        <v>5138</v>
      </c>
      <c r="AB463" s="8">
        <v>2004</v>
      </c>
      <c r="AC463" s="9"/>
      <c r="AD463" s="10">
        <v>1</v>
      </c>
      <c r="AE463" s="31" t="s">
        <v>3719</v>
      </c>
    </row>
    <row r="464" spans="1:31" ht="12.75">
      <c r="A464" s="4" t="s">
        <v>3720</v>
      </c>
      <c r="B464" s="1" t="s">
        <v>3711</v>
      </c>
      <c r="C464" s="1" t="s">
        <v>3721</v>
      </c>
      <c r="D464" s="1" t="s">
        <v>3722</v>
      </c>
      <c r="E464" s="2">
        <v>2055</v>
      </c>
      <c r="F464" s="2">
        <v>53</v>
      </c>
      <c r="G464" s="3" t="s">
        <v>3714</v>
      </c>
      <c r="H464" s="3" t="s">
        <v>3723</v>
      </c>
      <c r="I464" s="3" t="s">
        <v>3724</v>
      </c>
      <c r="J464" s="44" t="str">
        <f>HYPERLINK("https://www.centcols.org/util/geo/visuGen.php?code=FR-38-2055","FR-38-2055")</f>
        <v>FR-38-2055</v>
      </c>
      <c r="K464" s="3"/>
      <c r="L464" s="1"/>
      <c r="M464" s="8">
        <v>99</v>
      </c>
      <c r="N464" s="8">
        <v>20</v>
      </c>
      <c r="O464" s="4"/>
      <c r="P464" s="3"/>
      <c r="Q464" s="3" t="s">
        <v>3725</v>
      </c>
      <c r="R464" s="3" t="s">
        <v>3726</v>
      </c>
      <c r="S464" s="25">
        <v>6.103154834042795</v>
      </c>
      <c r="T464" s="25">
        <v>45.18865836231809</v>
      </c>
      <c r="U464" s="2">
        <v>32</v>
      </c>
      <c r="V464" s="3">
        <v>272435</v>
      </c>
      <c r="W464" s="3">
        <v>5007991</v>
      </c>
      <c r="X464" s="25">
        <v>4.184957819853053</v>
      </c>
      <c r="Y464" s="25">
        <v>50.20963767227549</v>
      </c>
      <c r="Z464" s="6"/>
      <c r="AA464" s="7" t="s">
        <v>5138</v>
      </c>
      <c r="AB464" s="8">
        <v>2004</v>
      </c>
      <c r="AC464" s="9"/>
      <c r="AD464" s="10">
        <v>1</v>
      </c>
      <c r="AE464" s="31" t="s">
        <v>3719</v>
      </c>
    </row>
    <row r="465" spans="1:31" ht="12.75">
      <c r="A465" s="18" t="s">
        <v>3727</v>
      </c>
      <c r="B465" s="20" t="s">
        <v>3728</v>
      </c>
      <c r="C465" s="20" t="s">
        <v>3729</v>
      </c>
      <c r="D465" s="20" t="s">
        <v>3730</v>
      </c>
      <c r="E465" s="19">
        <v>2773</v>
      </c>
      <c r="F465" s="14">
        <v>54</v>
      </c>
      <c r="G465" s="19" t="s">
        <v>3731</v>
      </c>
      <c r="H465" s="19" t="s">
        <v>2901</v>
      </c>
      <c r="I465" s="19" t="s">
        <v>3732</v>
      </c>
      <c r="J465" s="44" t="str">
        <f>HYPERLINK("https://www.centcols.org/util/geo/visuGen.php?code=FR-38-2773","FR-38-2773")</f>
        <v>FR-38-2773</v>
      </c>
      <c r="K465" s="19"/>
      <c r="L465" s="20" t="s">
        <v>3733</v>
      </c>
      <c r="M465" s="19">
        <v>40</v>
      </c>
      <c r="N465" s="19">
        <v>15</v>
      </c>
      <c r="O465" s="18"/>
      <c r="P465" s="19"/>
      <c r="Q465" s="19" t="s">
        <v>3734</v>
      </c>
      <c r="R465" s="19" t="s">
        <v>3735</v>
      </c>
      <c r="S465" s="59">
        <v>6.191367</v>
      </c>
      <c r="T465" s="59">
        <v>44.986745</v>
      </c>
      <c r="U465" s="19">
        <v>32</v>
      </c>
      <c r="V465" s="3">
        <v>278586</v>
      </c>
      <c r="W465" s="3">
        <v>4985316</v>
      </c>
      <c r="X465" s="59">
        <v>4.282967</v>
      </c>
      <c r="Y465" s="59">
        <v>49.985284</v>
      </c>
      <c r="Z465" s="23"/>
      <c r="AA465" s="11" t="s">
        <v>5176</v>
      </c>
      <c r="AB465" s="11">
        <v>2018</v>
      </c>
      <c r="AC465" s="11"/>
      <c r="AD465" s="11"/>
      <c r="AE465" s="23" t="s">
        <v>3736</v>
      </c>
    </row>
    <row r="466" spans="1:31" ht="12.75">
      <c r="A466" s="4" t="s">
        <v>3737</v>
      </c>
      <c r="B466" s="1" t="s">
        <v>5935</v>
      </c>
      <c r="C466" s="1" t="s">
        <v>3738</v>
      </c>
      <c r="D466" s="1" t="s">
        <v>3739</v>
      </c>
      <c r="E466" s="2">
        <v>2800</v>
      </c>
      <c r="F466" s="2">
        <v>54</v>
      </c>
      <c r="G466" s="3" t="s">
        <v>3731</v>
      </c>
      <c r="H466" s="3" t="s">
        <v>3740</v>
      </c>
      <c r="I466" s="3" t="s">
        <v>3741</v>
      </c>
      <c r="J466" s="44" t="str">
        <f>HYPERLINK("https://www.centcols.org/util/geo/visuGen.php?code=FR-38-2800","FR-38-2800")</f>
        <v>FR-38-2800</v>
      </c>
      <c r="K466" s="3"/>
      <c r="L466" s="1"/>
      <c r="M466" s="8">
        <v>99</v>
      </c>
      <c r="N466" s="8">
        <v>20</v>
      </c>
      <c r="O466" s="4"/>
      <c r="P466" s="3"/>
      <c r="Q466" s="3" t="s">
        <v>3742</v>
      </c>
      <c r="R466" s="3" t="s">
        <v>3743</v>
      </c>
      <c r="S466" s="25">
        <v>6.194144786974218</v>
      </c>
      <c r="T466" s="25">
        <v>44.98831102778643</v>
      </c>
      <c r="U466" s="2">
        <v>32</v>
      </c>
      <c r="V466" s="3">
        <v>278811</v>
      </c>
      <c r="W466" s="3">
        <v>4985482</v>
      </c>
      <c r="X466" s="25">
        <v>4.286052610731906</v>
      </c>
      <c r="Y466" s="25">
        <v>49.98702395387774</v>
      </c>
      <c r="Z466" s="6"/>
      <c r="AA466" s="7" t="s">
        <v>5176</v>
      </c>
      <c r="AB466" s="8" t="s">
        <v>6238</v>
      </c>
      <c r="AC466" s="9"/>
      <c r="AD466" s="10">
        <v>1</v>
      </c>
      <c r="AE466" s="31" t="s">
        <v>5834</v>
      </c>
    </row>
    <row r="467" spans="1:31" ht="12.75">
      <c r="A467" s="4" t="s">
        <v>3744</v>
      </c>
      <c r="B467" s="1" t="s">
        <v>5815</v>
      </c>
      <c r="C467" s="1" t="s">
        <v>3745</v>
      </c>
      <c r="D467" s="1" t="s">
        <v>3746</v>
      </c>
      <c r="E467" s="2">
        <v>894</v>
      </c>
      <c r="F467" s="2">
        <v>37</v>
      </c>
      <c r="G467" s="3" t="s">
        <v>3747</v>
      </c>
      <c r="H467" s="3" t="s">
        <v>3748</v>
      </c>
      <c r="I467" s="3" t="s">
        <v>3749</v>
      </c>
      <c r="J467" s="44" t="str">
        <f>HYPERLINK("https://www.centcols.org/util/geo/visuGen.php?code=FR-39-0894","FR-39-0894")</f>
        <v>FR-39-0894</v>
      </c>
      <c r="K467" s="3" t="s">
        <v>3750</v>
      </c>
      <c r="L467" s="1" t="s">
        <v>3751</v>
      </c>
      <c r="M467" s="8">
        <v>0</v>
      </c>
      <c r="N467" s="8">
        <v>0</v>
      </c>
      <c r="O467" s="4"/>
      <c r="P467" s="3"/>
      <c r="Q467" s="3" t="s">
        <v>3752</v>
      </c>
      <c r="R467" s="3" t="s">
        <v>3753</v>
      </c>
      <c r="S467" s="25">
        <v>5.9038452552518494</v>
      </c>
      <c r="T467" s="25">
        <v>46.60767619854093</v>
      </c>
      <c r="U467" s="2">
        <v>31</v>
      </c>
      <c r="V467" s="3">
        <v>722372</v>
      </c>
      <c r="W467" s="3">
        <v>5165665</v>
      </c>
      <c r="X467" s="25">
        <v>3.963523121618422</v>
      </c>
      <c r="Y467" s="25">
        <v>51.78634822318433</v>
      </c>
      <c r="Z467" s="6"/>
      <c r="AA467" s="7" t="s">
        <v>5138</v>
      </c>
      <c r="AB467" s="8" t="s">
        <v>5571</v>
      </c>
      <c r="AC467" s="9">
        <v>41263</v>
      </c>
      <c r="AD467" s="10">
        <v>8</v>
      </c>
      <c r="AE467" s="31" t="s">
        <v>3754</v>
      </c>
    </row>
    <row r="468" spans="1:31" ht="12.75">
      <c r="A468" s="4" t="s">
        <v>3755</v>
      </c>
      <c r="B468" s="1" t="s">
        <v>5534</v>
      </c>
      <c r="C468" s="1" t="s">
        <v>3756</v>
      </c>
      <c r="D468" s="1" t="s">
        <v>3757</v>
      </c>
      <c r="E468" s="2">
        <v>1050</v>
      </c>
      <c r="F468" s="2">
        <v>37</v>
      </c>
      <c r="G468" s="3" t="s">
        <v>3747</v>
      </c>
      <c r="H468" s="3" t="s">
        <v>3758</v>
      </c>
      <c r="I468" s="3" t="s">
        <v>1146</v>
      </c>
      <c r="J468" s="44" t="str">
        <f>HYPERLINK("https://www.centcols.org/util/geo/visuGen.php?code=FR-39-1050","FR-39-1050")</f>
        <v>FR-39-1050</v>
      </c>
      <c r="K468" s="3"/>
      <c r="L468" s="1" t="s">
        <v>1147</v>
      </c>
      <c r="M468" s="8">
        <v>99</v>
      </c>
      <c r="N468" s="8">
        <v>15</v>
      </c>
      <c r="O468" s="4"/>
      <c r="P468" s="3"/>
      <c r="Q468" s="3" t="s">
        <v>1148</v>
      </c>
      <c r="R468" s="3" t="s">
        <v>1149</v>
      </c>
      <c r="S468" s="25">
        <v>5.872578</v>
      </c>
      <c r="T468" s="25">
        <v>46.563745</v>
      </c>
      <c r="U468" s="2">
        <v>31</v>
      </c>
      <c r="V468" s="3">
        <v>720156</v>
      </c>
      <c r="W468" s="3">
        <v>5160696</v>
      </c>
      <c r="X468" s="25">
        <v>3.928783</v>
      </c>
      <c r="Y468" s="25">
        <v>51.738</v>
      </c>
      <c r="Z468" s="6"/>
      <c r="AA468" s="7" t="s">
        <v>5138</v>
      </c>
      <c r="AB468" s="8" t="s">
        <v>5571</v>
      </c>
      <c r="AC468" s="9">
        <v>40928</v>
      </c>
      <c r="AD468" s="10">
        <v>1</v>
      </c>
      <c r="AE468" s="31" t="s">
        <v>4962</v>
      </c>
    </row>
    <row r="469" spans="1:31" ht="12.75">
      <c r="A469" s="4" t="s">
        <v>1150</v>
      </c>
      <c r="B469" s="1" t="s">
        <v>5923</v>
      </c>
      <c r="C469" s="1" t="s">
        <v>1151</v>
      </c>
      <c r="D469" s="1" t="s">
        <v>1152</v>
      </c>
      <c r="E469" s="2">
        <v>1125</v>
      </c>
      <c r="F469" s="2">
        <v>44</v>
      </c>
      <c r="G469" s="3" t="s">
        <v>5264</v>
      </c>
      <c r="H469" s="3" t="s">
        <v>5330</v>
      </c>
      <c r="I469" s="3" t="s">
        <v>1153</v>
      </c>
      <c r="J469" s="44" t="str">
        <f>HYPERLINK("https://www.centcols.org/util/geo/visuGen.php?code=FR-39-1125","FR-39-1125")</f>
        <v>FR-39-1125</v>
      </c>
      <c r="K469" s="3" t="s">
        <v>1154</v>
      </c>
      <c r="L469" s="1" t="s">
        <v>5688</v>
      </c>
      <c r="M469" s="8">
        <v>0</v>
      </c>
      <c r="N469" s="8">
        <v>0</v>
      </c>
      <c r="O469" s="4"/>
      <c r="P469" s="3"/>
      <c r="Q469" s="3" t="s">
        <v>1155</v>
      </c>
      <c r="R469" s="3" t="s">
        <v>1156</v>
      </c>
      <c r="S469" s="25">
        <v>5.959912</v>
      </c>
      <c r="T469" s="25">
        <v>46.426351</v>
      </c>
      <c r="U469" s="2">
        <v>31</v>
      </c>
      <c r="V469" s="3">
        <v>727421</v>
      </c>
      <c r="W469" s="3">
        <v>5145677</v>
      </c>
      <c r="X469" s="25">
        <v>4.025815</v>
      </c>
      <c r="Y469" s="25">
        <v>51.584872</v>
      </c>
      <c r="Z469" s="6"/>
      <c r="AA469" s="7" t="s">
        <v>5138</v>
      </c>
      <c r="AB469" s="8">
        <v>2015</v>
      </c>
      <c r="AC469" s="9">
        <v>42297</v>
      </c>
      <c r="AD469" s="10"/>
      <c r="AE469" s="31" t="s">
        <v>1157</v>
      </c>
    </row>
    <row r="470" spans="1:31" ht="12.75">
      <c r="A470" s="4" t="s">
        <v>1158</v>
      </c>
      <c r="B470" s="1" t="s">
        <v>5589</v>
      </c>
      <c r="C470" s="1" t="s">
        <v>1159</v>
      </c>
      <c r="D470" s="1" t="s">
        <v>1160</v>
      </c>
      <c r="E470" s="2">
        <v>1165</v>
      </c>
      <c r="F470" s="2">
        <v>44</v>
      </c>
      <c r="G470" s="3" t="s">
        <v>5264</v>
      </c>
      <c r="H470" s="3" t="s">
        <v>1161</v>
      </c>
      <c r="I470" s="3" t="s">
        <v>1162</v>
      </c>
      <c r="J470" s="44" t="str">
        <f>HYPERLINK("https://www.centcols.org/util/geo/visuGen.php?code=FR-39-1160","FR-39-1160")</f>
        <v>FR-39-1160</v>
      </c>
      <c r="K470" s="3"/>
      <c r="L470" s="1" t="s">
        <v>5138</v>
      </c>
      <c r="M470" s="8">
        <v>35</v>
      </c>
      <c r="N470" s="8">
        <v>10</v>
      </c>
      <c r="O470" s="4"/>
      <c r="P470" s="3"/>
      <c r="Q470" s="3" t="s">
        <v>1163</v>
      </c>
      <c r="R470" s="3" t="s">
        <v>1164</v>
      </c>
      <c r="S470" s="25">
        <v>5.955585249719987</v>
      </c>
      <c r="T470" s="25">
        <v>46.37317884664761</v>
      </c>
      <c r="U470" s="2">
        <v>31</v>
      </c>
      <c r="V470" s="3">
        <v>727310</v>
      </c>
      <c r="W470" s="3">
        <v>5139757</v>
      </c>
      <c r="X470" s="25">
        <v>4.021006454112924</v>
      </c>
      <c r="Y470" s="25">
        <v>51.525791795319066</v>
      </c>
      <c r="Z470" s="6"/>
      <c r="AA470" s="7" t="s">
        <v>5138</v>
      </c>
      <c r="AB470" s="8">
        <v>2008</v>
      </c>
      <c r="AC470" s="9"/>
      <c r="AD470" s="10">
        <v>1</v>
      </c>
      <c r="AE470" s="31" t="s">
        <v>4538</v>
      </c>
    </row>
    <row r="471" spans="1:31" ht="12.75">
      <c r="A471" s="4" t="s">
        <v>1165</v>
      </c>
      <c r="B471" s="1" t="s">
        <v>5128</v>
      </c>
      <c r="C471" s="1" t="s">
        <v>1166</v>
      </c>
      <c r="D471" s="1" t="s">
        <v>1167</v>
      </c>
      <c r="E471" s="2">
        <v>1170</v>
      </c>
      <c r="F471" s="2">
        <v>44</v>
      </c>
      <c r="G471" s="3" t="s">
        <v>5264</v>
      </c>
      <c r="H471" s="3" t="s">
        <v>1168</v>
      </c>
      <c r="I471" s="3" t="s">
        <v>1169</v>
      </c>
      <c r="J471" s="44" t="str">
        <f>HYPERLINK("https://www.centcols.org/util/geo/visuGen.php?code=FR-39-1170","FR-39-1170")</f>
        <v>FR-39-1170</v>
      </c>
      <c r="K471" s="3" t="s">
        <v>1170</v>
      </c>
      <c r="L471" s="1" t="s">
        <v>1171</v>
      </c>
      <c r="M471" s="8">
        <v>0</v>
      </c>
      <c r="N471" s="8">
        <v>0</v>
      </c>
      <c r="O471" s="4"/>
      <c r="P471" s="3"/>
      <c r="Q471" s="3" t="s">
        <v>1172</v>
      </c>
      <c r="R471" s="3" t="s">
        <v>1173</v>
      </c>
      <c r="S471" s="25">
        <v>5.957962</v>
      </c>
      <c r="T471" s="25">
        <v>46.3755</v>
      </c>
      <c r="U471" s="2">
        <v>31</v>
      </c>
      <c r="V471" s="3">
        <v>727483</v>
      </c>
      <c r="W471" s="3">
        <v>5140022</v>
      </c>
      <c r="X471" s="25">
        <v>4.023647</v>
      </c>
      <c r="Y471" s="25">
        <v>51.52837</v>
      </c>
      <c r="Z471" s="6"/>
      <c r="AA471" s="7" t="s">
        <v>5138</v>
      </c>
      <c r="AB471" s="8">
        <v>2015</v>
      </c>
      <c r="AC471" s="9">
        <v>42297</v>
      </c>
      <c r="AD471" s="10"/>
      <c r="AE471" s="31" t="s">
        <v>1157</v>
      </c>
    </row>
    <row r="472" spans="1:31" ht="12.75">
      <c r="A472" s="4" t="s">
        <v>1174</v>
      </c>
      <c r="B472" s="1" t="s">
        <v>5128</v>
      </c>
      <c r="C472" s="1" t="s">
        <v>1175</v>
      </c>
      <c r="D472" s="1" t="s">
        <v>1176</v>
      </c>
      <c r="E472" s="2">
        <v>1192</v>
      </c>
      <c r="F472" s="2">
        <v>45</v>
      </c>
      <c r="G472" s="3" t="s">
        <v>5264</v>
      </c>
      <c r="H472" s="3" t="s">
        <v>1177</v>
      </c>
      <c r="I472" s="3" t="s">
        <v>1178</v>
      </c>
      <c r="J472" s="44" t="str">
        <f>HYPERLINK("https://www.centcols.org/util/geo/visuGen.php?code=FR-39-1192","FR-39-1192")</f>
        <v>FR-39-1192</v>
      </c>
      <c r="K472" s="3" t="s">
        <v>1179</v>
      </c>
      <c r="L472" s="1" t="s">
        <v>1180</v>
      </c>
      <c r="M472" s="8">
        <v>0</v>
      </c>
      <c r="N472" s="8">
        <v>0</v>
      </c>
      <c r="O472" s="4"/>
      <c r="P472" s="3"/>
      <c r="Q472" s="3" t="s">
        <v>1181</v>
      </c>
      <c r="R472" s="3" t="s">
        <v>1182</v>
      </c>
      <c r="S472" s="25">
        <v>5.981853</v>
      </c>
      <c r="T472" s="25">
        <v>46.369378</v>
      </c>
      <c r="U472" s="2">
        <v>31</v>
      </c>
      <c r="V472" s="3">
        <v>729346</v>
      </c>
      <c r="W472" s="3">
        <v>5139411</v>
      </c>
      <c r="X472" s="25">
        <v>4.050191573958732</v>
      </c>
      <c r="Y472" s="25">
        <v>51.52156848666097</v>
      </c>
      <c r="Z472" s="6"/>
      <c r="AA472" s="7" t="s">
        <v>5138</v>
      </c>
      <c r="AB472" s="8">
        <v>2016</v>
      </c>
      <c r="AC472" s="9"/>
      <c r="AD472" s="10"/>
      <c r="AE472" s="31" t="s">
        <v>1183</v>
      </c>
    </row>
    <row r="473" spans="1:31" ht="12.75">
      <c r="A473" s="4" t="s">
        <v>1184</v>
      </c>
      <c r="B473" s="1" t="s">
        <v>1185</v>
      </c>
      <c r="C473" s="1" t="s">
        <v>1186</v>
      </c>
      <c r="D473" s="1" t="s">
        <v>1187</v>
      </c>
      <c r="E473" s="2">
        <v>1205</v>
      </c>
      <c r="F473" s="2">
        <v>45</v>
      </c>
      <c r="G473" s="3" t="s">
        <v>1188</v>
      </c>
      <c r="H473" s="3" t="s">
        <v>1189</v>
      </c>
      <c r="I473" s="3" t="s">
        <v>1190</v>
      </c>
      <c r="J473" s="44" t="str">
        <f>HYPERLINK("https://www.centcols.org/util/geo/visuGen.php?code=FR-39-1205","FR-39-1205")</f>
        <v>FR-39-1205</v>
      </c>
      <c r="K473" s="3" t="s">
        <v>1191</v>
      </c>
      <c r="L473" s="1" t="s">
        <v>5157</v>
      </c>
      <c r="M473" s="8">
        <v>0</v>
      </c>
      <c r="N473" s="8">
        <v>0</v>
      </c>
      <c r="O473" s="4"/>
      <c r="P473" s="3"/>
      <c r="Q473" s="3" t="s">
        <v>1192</v>
      </c>
      <c r="R473" s="3" t="s">
        <v>1193</v>
      </c>
      <c r="S473" s="25">
        <v>6.132981</v>
      </c>
      <c r="T473" s="25">
        <v>46.543072</v>
      </c>
      <c r="U473" s="2">
        <v>32</v>
      </c>
      <c r="V473" s="3">
        <v>280187</v>
      </c>
      <c r="W473" s="3">
        <v>5158383</v>
      </c>
      <c r="X473" s="25">
        <v>4.218107</v>
      </c>
      <c r="Y473" s="25">
        <v>51.714564</v>
      </c>
      <c r="Z473" s="6"/>
      <c r="AA473" s="7" t="s">
        <v>5138</v>
      </c>
      <c r="AB473" s="8">
        <v>2015</v>
      </c>
      <c r="AC473" s="9">
        <v>42297</v>
      </c>
      <c r="AD473" s="10"/>
      <c r="AE473" s="31" t="s">
        <v>1194</v>
      </c>
    </row>
    <row r="474" spans="1:31" ht="12.75">
      <c r="A474" s="4" t="s">
        <v>1195</v>
      </c>
      <c r="B474" s="1" t="s">
        <v>5128</v>
      </c>
      <c r="C474" s="1" t="s">
        <v>1175</v>
      </c>
      <c r="D474" s="1" t="s">
        <v>1176</v>
      </c>
      <c r="E474" s="2">
        <v>1242</v>
      </c>
      <c r="F474" s="2">
        <v>45</v>
      </c>
      <c r="G474" s="3" t="s">
        <v>1196</v>
      </c>
      <c r="H474" s="3" t="s">
        <v>1197</v>
      </c>
      <c r="I474" s="3" t="s">
        <v>1198</v>
      </c>
      <c r="J474" s="44" t="str">
        <f>HYPERLINK("https://www.centcols.org/util/geo/visuGen.php?code=FR-39-1242","FR-39-1242")</f>
        <v>FR-39-1242</v>
      </c>
      <c r="K474" s="3" t="s">
        <v>1199</v>
      </c>
      <c r="L474" s="1" t="s">
        <v>1200</v>
      </c>
      <c r="M474" s="8">
        <v>0</v>
      </c>
      <c r="N474" s="8">
        <v>0</v>
      </c>
      <c r="O474" s="4"/>
      <c r="P474" s="3"/>
      <c r="Q474" s="3" t="s">
        <v>1201</v>
      </c>
      <c r="R474" s="3" t="s">
        <v>1202</v>
      </c>
      <c r="S474" s="25">
        <v>6.085145</v>
      </c>
      <c r="T474" s="25">
        <v>46.443322</v>
      </c>
      <c r="U474" s="2">
        <v>32</v>
      </c>
      <c r="V474" s="3">
        <v>276110</v>
      </c>
      <c r="W474" s="3">
        <v>5147434</v>
      </c>
      <c r="X474" s="25">
        <v>4.164957</v>
      </c>
      <c r="Y474" s="25">
        <v>51.603729</v>
      </c>
      <c r="Z474" s="6"/>
      <c r="AA474" s="7" t="s">
        <v>5138</v>
      </c>
      <c r="AB474" s="8">
        <v>2016</v>
      </c>
      <c r="AC474" s="9"/>
      <c r="AD474" s="10"/>
      <c r="AE474" s="31" t="s">
        <v>1203</v>
      </c>
    </row>
    <row r="475" spans="1:31" ht="12.75">
      <c r="A475" s="4" t="s">
        <v>1204</v>
      </c>
      <c r="B475" s="1" t="s">
        <v>5128</v>
      </c>
      <c r="C475" s="1" t="s">
        <v>1205</v>
      </c>
      <c r="D475" s="1" t="s">
        <v>1206</v>
      </c>
      <c r="E475" s="2">
        <v>1335</v>
      </c>
      <c r="F475" s="2">
        <v>44</v>
      </c>
      <c r="G475" s="3" t="s">
        <v>1207</v>
      </c>
      <c r="H475" s="3" t="s">
        <v>1208</v>
      </c>
      <c r="I475" s="3" t="s">
        <v>1209</v>
      </c>
      <c r="J475" s="44" t="str">
        <f>HYPERLINK("https://www.centcols.org/util/geo/visuGen.php?code=FR-39-1335","FR-39-1335")</f>
        <v>FR-39-1335</v>
      </c>
      <c r="K475" s="3"/>
      <c r="L475" s="1" t="s">
        <v>1210</v>
      </c>
      <c r="M475" s="8">
        <v>35</v>
      </c>
      <c r="N475" s="8">
        <v>10</v>
      </c>
      <c r="O475" s="4"/>
      <c r="P475" s="3"/>
      <c r="Q475" s="3" t="s">
        <v>1211</v>
      </c>
      <c r="R475" s="3" t="s">
        <v>1212</v>
      </c>
      <c r="S475" s="25">
        <v>5.877217</v>
      </c>
      <c r="T475" s="25">
        <v>46.274875</v>
      </c>
      <c r="U475" s="2">
        <v>31</v>
      </c>
      <c r="V475" s="3">
        <v>721680</v>
      </c>
      <c r="W475" s="3">
        <v>5128613</v>
      </c>
      <c r="X475" s="25">
        <v>3.933933</v>
      </c>
      <c r="Y475" s="25">
        <v>51.416563</v>
      </c>
      <c r="Z475" s="6"/>
      <c r="AA475" s="7" t="s">
        <v>5138</v>
      </c>
      <c r="AB475" s="8">
        <v>2015</v>
      </c>
      <c r="AC475" s="9">
        <v>42045</v>
      </c>
      <c r="AD475" s="10"/>
      <c r="AE475" s="31" t="s">
        <v>1213</v>
      </c>
    </row>
    <row r="476" spans="1:31" ht="12.75">
      <c r="A476" s="50" t="s">
        <v>1214</v>
      </c>
      <c r="B476" s="62" t="s">
        <v>5574</v>
      </c>
      <c r="C476" s="62" t="s">
        <v>1215</v>
      </c>
      <c r="D476" s="62" t="s">
        <v>1216</v>
      </c>
      <c r="E476" s="24">
        <v>30</v>
      </c>
      <c r="F476" s="2">
        <v>62</v>
      </c>
      <c r="G476" s="24" t="s">
        <v>1217</v>
      </c>
      <c r="H476" s="24" t="s">
        <v>1218</v>
      </c>
      <c r="I476" s="24" t="s">
        <v>1219</v>
      </c>
      <c r="J476" s="44" t="str">
        <f>HYPERLINK("https://www.centcols.org/util/geo/visuGen.php?code=FR-40-0030","FR-40-0030")</f>
        <v>FR-40-0030</v>
      </c>
      <c r="K476" s="19"/>
      <c r="L476" s="62" t="s">
        <v>5176</v>
      </c>
      <c r="M476" s="24">
        <v>99</v>
      </c>
      <c r="N476" s="24">
        <v>15</v>
      </c>
      <c r="O476" s="18"/>
      <c r="P476" s="19"/>
      <c r="Q476" s="24" t="s">
        <v>1220</v>
      </c>
      <c r="R476" s="24" t="s">
        <v>1221</v>
      </c>
      <c r="S476" s="25">
        <v>-1.418903</v>
      </c>
      <c r="T476" s="25">
        <v>43.615681</v>
      </c>
      <c r="U476" s="24">
        <v>30</v>
      </c>
      <c r="V476" s="3">
        <v>627579</v>
      </c>
      <c r="W476" s="3">
        <v>4830403</v>
      </c>
      <c r="X476" s="25">
        <v>-4.17257</v>
      </c>
      <c r="Y476" s="25">
        <v>48.461914</v>
      </c>
      <c r="Z476" s="61"/>
      <c r="AA476" s="54" t="s">
        <v>5138</v>
      </c>
      <c r="AB476" s="54">
        <v>2016</v>
      </c>
      <c r="AC476" s="54"/>
      <c r="AD476" s="57"/>
      <c r="AE476" s="61" t="s">
        <v>1222</v>
      </c>
    </row>
    <row r="477" spans="1:31" ht="12.75">
      <c r="A477" s="4" t="s">
        <v>1223</v>
      </c>
      <c r="B477" s="1" t="s">
        <v>5815</v>
      </c>
      <c r="C477" s="1" t="s">
        <v>1224</v>
      </c>
      <c r="D477" s="1" t="s">
        <v>1225</v>
      </c>
      <c r="E477" s="2">
        <v>683</v>
      </c>
      <c r="F477" s="2">
        <v>43</v>
      </c>
      <c r="G477" s="3" t="s">
        <v>1226</v>
      </c>
      <c r="H477" s="3" t="s">
        <v>1227</v>
      </c>
      <c r="I477" s="3" t="s">
        <v>1228</v>
      </c>
      <c r="J477" s="44" t="str">
        <f>HYPERLINK("https://www.centcols.org/util/geo/visuGen.php?code=FR-42-0683","FR-42-0683")</f>
        <v>FR-42-0683</v>
      </c>
      <c r="K477" s="3" t="s">
        <v>1229</v>
      </c>
      <c r="L477" s="1" t="s">
        <v>1230</v>
      </c>
      <c r="M477" s="8">
        <v>0</v>
      </c>
      <c r="N477" s="8">
        <v>0</v>
      </c>
      <c r="O477" s="4"/>
      <c r="P477" s="3"/>
      <c r="Q477" s="3" t="s">
        <v>1231</v>
      </c>
      <c r="R477" s="3" t="s">
        <v>1232</v>
      </c>
      <c r="S477" s="25">
        <v>4.329628659458698</v>
      </c>
      <c r="T477" s="25">
        <v>46.132168611006946</v>
      </c>
      <c r="U477" s="2">
        <v>31</v>
      </c>
      <c r="V477" s="3">
        <v>602710</v>
      </c>
      <c r="W477" s="3">
        <v>5109592</v>
      </c>
      <c r="X477" s="25">
        <v>2.2144549712505563</v>
      </c>
      <c r="Y477" s="25">
        <v>51.258</v>
      </c>
      <c r="Z477" s="6"/>
      <c r="AA477" s="7" t="s">
        <v>5176</v>
      </c>
      <c r="AB477" s="8" t="s">
        <v>5802</v>
      </c>
      <c r="AC477" s="9"/>
      <c r="AD477" s="10">
        <v>1</v>
      </c>
      <c r="AE477" s="31" t="s">
        <v>1233</v>
      </c>
    </row>
    <row r="478" spans="1:31" ht="12.75">
      <c r="A478" s="4" t="s">
        <v>1234</v>
      </c>
      <c r="B478" s="1" t="s">
        <v>5534</v>
      </c>
      <c r="C478" s="1" t="s">
        <v>1235</v>
      </c>
      <c r="D478" s="1" t="s">
        <v>1236</v>
      </c>
      <c r="E478" s="2">
        <v>715</v>
      </c>
      <c r="F478" s="2">
        <v>43</v>
      </c>
      <c r="G478" s="3" t="s">
        <v>1226</v>
      </c>
      <c r="H478" s="3" t="s">
        <v>1237</v>
      </c>
      <c r="I478" s="3" t="s">
        <v>1238</v>
      </c>
      <c r="J478" s="44" t="str">
        <f>HYPERLINK("https://www.centcols.org/util/geo/visuGen.php?code=FR-42-0715","FR-42-0715")</f>
        <v>FR-42-0715</v>
      </c>
      <c r="K478" s="3" t="s">
        <v>1239</v>
      </c>
      <c r="L478" s="1" t="s">
        <v>1240</v>
      </c>
      <c r="M478" s="8">
        <v>0</v>
      </c>
      <c r="N478" s="8">
        <v>0</v>
      </c>
      <c r="O478" s="4"/>
      <c r="P478" s="3" t="s">
        <v>1241</v>
      </c>
      <c r="Q478" s="3" t="s">
        <v>1242</v>
      </c>
      <c r="R478" s="3" t="s">
        <v>1243</v>
      </c>
      <c r="S478" s="25">
        <v>4.425428</v>
      </c>
      <c r="T478" s="25">
        <v>46.149289</v>
      </c>
      <c r="U478" s="2">
        <v>31</v>
      </c>
      <c r="V478" s="3">
        <v>610077</v>
      </c>
      <c r="W478" s="3">
        <v>5111622</v>
      </c>
      <c r="X478" s="25">
        <v>2.320897</v>
      </c>
      <c r="Y478" s="25">
        <v>51.277027</v>
      </c>
      <c r="Z478" s="6"/>
      <c r="AA478" s="7" t="s">
        <v>5176</v>
      </c>
      <c r="AB478" s="8">
        <v>2017</v>
      </c>
      <c r="AC478" s="9"/>
      <c r="AD478" s="10"/>
      <c r="AE478" s="31" t="s">
        <v>1244</v>
      </c>
    </row>
    <row r="479" spans="1:31" ht="12.75">
      <c r="A479" s="4" t="s">
        <v>1245</v>
      </c>
      <c r="B479" s="1" t="s">
        <v>5923</v>
      </c>
      <c r="C479" s="1" t="s">
        <v>1246</v>
      </c>
      <c r="D479" s="1" t="s">
        <v>1247</v>
      </c>
      <c r="E479" s="2">
        <v>725</v>
      </c>
      <c r="F479" s="2">
        <v>43</v>
      </c>
      <c r="G479" s="3" t="s">
        <v>1248</v>
      </c>
      <c r="H479" s="3" t="s">
        <v>1249</v>
      </c>
      <c r="I479" s="3" t="s">
        <v>1250</v>
      </c>
      <c r="J479" s="44" t="str">
        <f>HYPERLINK("https://www.centcols.org/util/geo/visuGen.php?code=FR-42-0725","FR-42-0725")</f>
        <v>FR-42-0725</v>
      </c>
      <c r="K479" s="3" t="s">
        <v>1251</v>
      </c>
      <c r="L479" s="1" t="s">
        <v>3144</v>
      </c>
      <c r="M479" s="8">
        <v>0</v>
      </c>
      <c r="N479" s="8">
        <v>0</v>
      </c>
      <c r="O479" s="4"/>
      <c r="P479" s="3"/>
      <c r="Q479" s="3" t="s">
        <v>1252</v>
      </c>
      <c r="R479" s="3" t="s">
        <v>1253</v>
      </c>
      <c r="S479" s="25">
        <v>3.819281</v>
      </c>
      <c r="T479" s="25">
        <v>45.903846</v>
      </c>
      <c r="U479" s="2">
        <v>31</v>
      </c>
      <c r="V479" s="3">
        <v>563549</v>
      </c>
      <c r="W479" s="3">
        <v>5083691</v>
      </c>
      <c r="X479" s="25">
        <v>1.647424</v>
      </c>
      <c r="Y479" s="25">
        <v>51.004312</v>
      </c>
      <c r="Z479" s="6"/>
      <c r="AA479" s="7" t="s">
        <v>5138</v>
      </c>
      <c r="AB479" s="8">
        <v>2015</v>
      </c>
      <c r="AC479" s="9">
        <v>42297</v>
      </c>
      <c r="AD479" s="10"/>
      <c r="AE479" s="31" t="s">
        <v>1254</v>
      </c>
    </row>
    <row r="480" spans="1:31" ht="12.75">
      <c r="A480" s="4" t="s">
        <v>1255</v>
      </c>
      <c r="B480" s="1" t="s">
        <v>5128</v>
      </c>
      <c r="C480" s="1" t="s">
        <v>1256</v>
      </c>
      <c r="D480" s="1" t="s">
        <v>1257</v>
      </c>
      <c r="E480" s="2">
        <v>757</v>
      </c>
      <c r="F480" s="2">
        <v>43</v>
      </c>
      <c r="G480" s="3" t="s">
        <v>1248</v>
      </c>
      <c r="H480" s="3" t="s">
        <v>1258</v>
      </c>
      <c r="I480" s="3" t="s">
        <v>1259</v>
      </c>
      <c r="J480" s="44" t="str">
        <f>HYPERLINK("https://www.centcols.org/util/geo/visuGen.php?code=FR-42-0757","FR-42-0757")</f>
        <v>FR-42-0757</v>
      </c>
      <c r="K480" s="3" t="s">
        <v>1260</v>
      </c>
      <c r="L480" s="1" t="s">
        <v>5157</v>
      </c>
      <c r="M480" s="8">
        <v>0</v>
      </c>
      <c r="N480" s="8">
        <v>0</v>
      </c>
      <c r="O480" s="4"/>
      <c r="P480" s="3"/>
      <c r="Q480" s="3" t="s">
        <v>1261</v>
      </c>
      <c r="R480" s="3" t="s">
        <v>1262</v>
      </c>
      <c r="S480" s="25">
        <v>3.924117</v>
      </c>
      <c r="T480" s="25">
        <v>45.972623</v>
      </c>
      <c r="U480" s="2">
        <v>31</v>
      </c>
      <c r="V480" s="3">
        <v>571592</v>
      </c>
      <c r="W480" s="3">
        <v>5091421</v>
      </c>
      <c r="X480" s="25">
        <v>1.763904</v>
      </c>
      <c r="Y480" s="25">
        <v>51.080732</v>
      </c>
      <c r="Z480" s="6"/>
      <c r="AA480" s="7" t="s">
        <v>5138</v>
      </c>
      <c r="AB480" s="8">
        <v>2015</v>
      </c>
      <c r="AC480" s="9">
        <v>42297</v>
      </c>
      <c r="AD480" s="10"/>
      <c r="AE480" s="31" t="s">
        <v>1254</v>
      </c>
    </row>
    <row r="481" spans="1:31" ht="12.75">
      <c r="A481" s="4" t="s">
        <v>1263</v>
      </c>
      <c r="B481" s="1" t="s">
        <v>6241</v>
      </c>
      <c r="C481" s="1" t="s">
        <v>1264</v>
      </c>
      <c r="D481" s="1" t="s">
        <v>1265</v>
      </c>
      <c r="E481" s="2">
        <v>855</v>
      </c>
      <c r="F481" s="2">
        <v>43</v>
      </c>
      <c r="G481" s="3" t="s">
        <v>1248</v>
      </c>
      <c r="H481" s="3" t="s">
        <v>1266</v>
      </c>
      <c r="I481" s="3" t="s">
        <v>1267</v>
      </c>
      <c r="J481" s="44" t="str">
        <f>HYPERLINK("https://www.centcols.org/util/geo/visuGen.php?code=FR-42-0855","FR-42-0855")</f>
        <v>FR-42-0855</v>
      </c>
      <c r="K481" s="3"/>
      <c r="L481" s="1" t="s">
        <v>5138</v>
      </c>
      <c r="M481" s="8">
        <v>35</v>
      </c>
      <c r="N481" s="8">
        <v>10</v>
      </c>
      <c r="O481" s="4"/>
      <c r="P481" s="3"/>
      <c r="Q481" s="3" t="s">
        <v>1268</v>
      </c>
      <c r="R481" s="3" t="s">
        <v>1269</v>
      </c>
      <c r="S481" s="25">
        <v>3.856837</v>
      </c>
      <c r="T481" s="25">
        <v>45.926707</v>
      </c>
      <c r="U481" s="2">
        <v>31</v>
      </c>
      <c r="V481" s="3">
        <v>566434</v>
      </c>
      <c r="W481" s="3">
        <v>5086261</v>
      </c>
      <c r="X481" s="25">
        <v>1.689151</v>
      </c>
      <c r="Y481" s="25">
        <v>51.029714</v>
      </c>
      <c r="Z481" s="6"/>
      <c r="AA481" s="7" t="s">
        <v>5138</v>
      </c>
      <c r="AB481" s="8">
        <v>2015</v>
      </c>
      <c r="AC481" s="9">
        <v>42297</v>
      </c>
      <c r="AD481" s="10"/>
      <c r="AE481" s="31" t="s">
        <v>1254</v>
      </c>
    </row>
    <row r="482" spans="1:31" ht="12.75">
      <c r="A482" s="4" t="s">
        <v>1270</v>
      </c>
      <c r="B482" s="1" t="s">
        <v>5534</v>
      </c>
      <c r="C482" s="1" t="s">
        <v>1271</v>
      </c>
      <c r="D482" s="1" t="s">
        <v>1272</v>
      </c>
      <c r="E482" s="2">
        <v>865</v>
      </c>
      <c r="F482" s="2">
        <v>43</v>
      </c>
      <c r="G482" s="3" t="s">
        <v>1248</v>
      </c>
      <c r="H482" s="3" t="s">
        <v>1273</v>
      </c>
      <c r="I482" s="3" t="s">
        <v>1274</v>
      </c>
      <c r="J482" s="44" t="str">
        <f>HYPERLINK("https://www.centcols.org/util/geo/visuGen.php?code=FR-42-0865a","FR-42-0865a")</f>
        <v>FR-42-0865a</v>
      </c>
      <c r="K482" s="3"/>
      <c r="L482" s="1" t="s">
        <v>6207</v>
      </c>
      <c r="M482" s="8">
        <v>99</v>
      </c>
      <c r="N482" s="8">
        <v>10</v>
      </c>
      <c r="O482" s="4"/>
      <c r="P482" s="3"/>
      <c r="Q482" s="3" t="s">
        <v>1275</v>
      </c>
      <c r="R482" s="3" t="s">
        <v>1276</v>
      </c>
      <c r="S482" s="25">
        <v>3.888265</v>
      </c>
      <c r="T482" s="25">
        <v>45.953401</v>
      </c>
      <c r="U482" s="2">
        <v>31</v>
      </c>
      <c r="V482" s="3">
        <v>568838</v>
      </c>
      <c r="W482" s="3">
        <v>5089254</v>
      </c>
      <c r="X482" s="25">
        <v>1.72407</v>
      </c>
      <c r="Y482" s="25">
        <v>51.059374</v>
      </c>
      <c r="Z482" s="6"/>
      <c r="AA482" s="7" t="s">
        <v>5138</v>
      </c>
      <c r="AB482" s="8">
        <v>2015</v>
      </c>
      <c r="AC482" s="9">
        <v>42297</v>
      </c>
      <c r="AD482" s="10"/>
      <c r="AE482" s="31" t="s">
        <v>1254</v>
      </c>
    </row>
    <row r="483" spans="1:31" ht="12.75">
      <c r="A483" s="4" t="s">
        <v>1277</v>
      </c>
      <c r="B483" s="1" t="s">
        <v>5612</v>
      </c>
      <c r="C483" s="1" t="s">
        <v>1278</v>
      </c>
      <c r="D483" s="1" t="s">
        <v>3925</v>
      </c>
      <c r="E483" s="2">
        <v>1055</v>
      </c>
      <c r="F483" s="2">
        <v>50</v>
      </c>
      <c r="G483" s="3" t="s">
        <v>3926</v>
      </c>
      <c r="H483" s="3" t="s">
        <v>3927</v>
      </c>
      <c r="I483" s="3" t="s">
        <v>3928</v>
      </c>
      <c r="J483" s="44" t="str">
        <f>HYPERLINK("https://www.centcols.org/util/geo/visuGen.php?code=FR-42-1055","FR-42-1055")</f>
        <v>FR-42-1055</v>
      </c>
      <c r="K483" s="3" t="s">
        <v>3929</v>
      </c>
      <c r="L483" s="1" t="s">
        <v>3930</v>
      </c>
      <c r="M483" s="8">
        <v>0</v>
      </c>
      <c r="N483" s="8">
        <v>0</v>
      </c>
      <c r="O483" s="4"/>
      <c r="P483" s="3"/>
      <c r="Q483" s="3" t="s">
        <v>3931</v>
      </c>
      <c r="R483" s="3" t="s">
        <v>3932</v>
      </c>
      <c r="S483" s="25">
        <v>3.917689381800263</v>
      </c>
      <c r="T483" s="25">
        <v>45.64259701236977</v>
      </c>
      <c r="U483" s="2">
        <v>31</v>
      </c>
      <c r="V483" s="3">
        <v>571515</v>
      </c>
      <c r="W483" s="3">
        <v>5054748</v>
      </c>
      <c r="X483" s="25">
        <v>1.7567594612996533</v>
      </c>
      <c r="Y483" s="25">
        <v>50.71403082043165</v>
      </c>
      <c r="Z483" s="6"/>
      <c r="AA483" s="7" t="s">
        <v>5138</v>
      </c>
      <c r="AB483" s="8">
        <v>2004</v>
      </c>
      <c r="AC483" s="9"/>
      <c r="AD483" s="10">
        <v>1</v>
      </c>
      <c r="AE483" s="31" t="s">
        <v>3933</v>
      </c>
    </row>
    <row r="484" spans="1:31" ht="12.75">
      <c r="A484" s="4" t="s">
        <v>3934</v>
      </c>
      <c r="B484" s="1" t="s">
        <v>5128</v>
      </c>
      <c r="C484" s="1" t="s">
        <v>3935</v>
      </c>
      <c r="D484" s="1" t="s">
        <v>3936</v>
      </c>
      <c r="E484" s="2">
        <v>1056</v>
      </c>
      <c r="F484" s="2">
        <v>51</v>
      </c>
      <c r="G484" s="3" t="s">
        <v>3937</v>
      </c>
      <c r="H484" s="3" t="s">
        <v>3938</v>
      </c>
      <c r="I484" s="3" t="s">
        <v>3939</v>
      </c>
      <c r="J484" s="44" t="str">
        <f>HYPERLINK("https://www.centcols.org/util/geo/visuGen.php?code=FR-42-1056","FR-42-1056")</f>
        <v>FR-42-1056</v>
      </c>
      <c r="K484" s="3" t="s">
        <v>3940</v>
      </c>
      <c r="L484" s="1" t="s">
        <v>5157</v>
      </c>
      <c r="M484" s="8">
        <v>0</v>
      </c>
      <c r="N484" s="8">
        <v>0</v>
      </c>
      <c r="O484" s="4"/>
      <c r="P484" s="3"/>
      <c r="Q484" s="3" t="s">
        <v>3941</v>
      </c>
      <c r="R484" s="3" t="s">
        <v>3942</v>
      </c>
      <c r="S484" s="25">
        <v>4.616964968601758</v>
      </c>
      <c r="T484" s="25">
        <v>45.36938235977883</v>
      </c>
      <c r="U484" s="2">
        <v>31</v>
      </c>
      <c r="V484" s="3">
        <v>626620</v>
      </c>
      <c r="W484" s="3">
        <v>5025257</v>
      </c>
      <c r="X484" s="25">
        <v>2.533691588482956</v>
      </c>
      <c r="Y484" s="25">
        <v>50.410453143537374</v>
      </c>
      <c r="Z484" s="6"/>
      <c r="AA484" s="7" t="s">
        <v>5138</v>
      </c>
      <c r="AB484" s="8">
        <v>2007</v>
      </c>
      <c r="AC484" s="9"/>
      <c r="AD484" s="10">
        <v>1</v>
      </c>
      <c r="AE484" s="31" t="s">
        <v>3943</v>
      </c>
    </row>
    <row r="485" spans="1:31" ht="22.5">
      <c r="A485" s="85" t="s">
        <v>6917</v>
      </c>
      <c r="B485" s="86" t="s">
        <v>6918</v>
      </c>
      <c r="C485" s="86" t="s">
        <v>6919</v>
      </c>
      <c r="D485" s="86" t="s">
        <v>6920</v>
      </c>
      <c r="E485" s="87">
        <v>1390</v>
      </c>
      <c r="F485" s="87">
        <v>50</v>
      </c>
      <c r="G485" s="88" t="s">
        <v>3926</v>
      </c>
      <c r="H485" s="88" t="s">
        <v>6921</v>
      </c>
      <c r="I485" s="88" t="s">
        <v>6922</v>
      </c>
      <c r="J485" s="112" t="str">
        <f>HYPERLINK("https://www.centcols.org/util/geo/visuGen.php?code=FR-42-1390","FR-42-1390")</f>
        <v>FR-42-1390</v>
      </c>
      <c r="K485" s="88" t="s">
        <v>6923</v>
      </c>
      <c r="L485" s="37" t="s">
        <v>6924</v>
      </c>
      <c r="M485" s="87">
        <v>0</v>
      </c>
      <c r="N485" s="87">
        <v>0</v>
      </c>
      <c r="O485" s="88"/>
      <c r="P485" s="88"/>
      <c r="Q485" s="88" t="s">
        <v>6925</v>
      </c>
      <c r="R485" s="88" t="s">
        <v>6987</v>
      </c>
      <c r="S485" s="89">
        <v>3.782953</v>
      </c>
      <c r="T485" s="89">
        <v>45.685357</v>
      </c>
      <c r="U485" s="90">
        <v>31</v>
      </c>
      <c r="V485" s="3">
        <v>560969</v>
      </c>
      <c r="W485" s="3">
        <v>5059388</v>
      </c>
      <c r="X485" s="89">
        <v>1.607059</v>
      </c>
      <c r="Y485" s="89">
        <v>50.761543</v>
      </c>
      <c r="Z485" s="55"/>
      <c r="AA485" s="7" t="s">
        <v>5176</v>
      </c>
      <c r="AB485" s="8">
        <v>2020</v>
      </c>
      <c r="AC485" s="9">
        <v>43974</v>
      </c>
      <c r="AD485" s="93"/>
      <c r="AE485" s="91" t="s">
        <v>6926</v>
      </c>
    </row>
    <row r="486" spans="1:31" ht="12.75">
      <c r="A486" s="4" t="s">
        <v>3944</v>
      </c>
      <c r="B486" s="1" t="s">
        <v>5262</v>
      </c>
      <c r="C486" s="1" t="s">
        <v>5590</v>
      </c>
      <c r="D486" s="1" t="s">
        <v>5590</v>
      </c>
      <c r="E486" s="2">
        <v>858</v>
      </c>
      <c r="F486" s="2">
        <v>50</v>
      </c>
      <c r="G486" s="3" t="s">
        <v>3945</v>
      </c>
      <c r="H486" s="3" t="s">
        <v>3946</v>
      </c>
      <c r="I486" s="3" t="s">
        <v>3947</v>
      </c>
      <c r="J486" s="44" t="str">
        <f>HYPERLINK("https://www.centcols.org/util/geo/visuGen.php?code=FR-43-0858","FR-43-0858")</f>
        <v>FR-43-0858</v>
      </c>
      <c r="K486" s="3" t="s">
        <v>3948</v>
      </c>
      <c r="L486" s="1" t="s">
        <v>5157</v>
      </c>
      <c r="M486" s="8">
        <v>0</v>
      </c>
      <c r="N486" s="8">
        <v>0</v>
      </c>
      <c r="O486" s="4"/>
      <c r="P486" s="3"/>
      <c r="Q486" s="3" t="s">
        <v>3949</v>
      </c>
      <c r="R486" s="3" t="s">
        <v>3950</v>
      </c>
      <c r="S486" s="25">
        <v>3.8717884890194214</v>
      </c>
      <c r="T486" s="25">
        <v>44.99154411153157</v>
      </c>
      <c r="U486" s="2">
        <v>31</v>
      </c>
      <c r="V486" s="3">
        <v>568720</v>
      </c>
      <c r="W486" s="3">
        <v>4982381</v>
      </c>
      <c r="X486" s="25">
        <v>1.7057530318555658</v>
      </c>
      <c r="Y486" s="25">
        <v>49.99062805247414</v>
      </c>
      <c r="Z486" s="6"/>
      <c r="AA486" s="7" t="s">
        <v>5138</v>
      </c>
      <c r="AB486" s="8">
        <v>2005</v>
      </c>
      <c r="AC486" s="9"/>
      <c r="AD486" s="10">
        <v>1</v>
      </c>
      <c r="AE486" s="31" t="s">
        <v>3951</v>
      </c>
    </row>
    <row r="487" spans="1:31" ht="12.75">
      <c r="A487" s="4" t="s">
        <v>3952</v>
      </c>
      <c r="B487" s="1" t="s">
        <v>6241</v>
      </c>
      <c r="C487" s="1" t="s">
        <v>3953</v>
      </c>
      <c r="D487" s="1" t="s">
        <v>3954</v>
      </c>
      <c r="E487" s="2">
        <v>1304</v>
      </c>
      <c r="F487" s="2">
        <v>50</v>
      </c>
      <c r="G487" s="3" t="s">
        <v>3955</v>
      </c>
      <c r="H487" s="3" t="s">
        <v>3956</v>
      </c>
      <c r="I487" s="3" t="s">
        <v>3957</v>
      </c>
      <c r="J487" s="44" t="str">
        <f>HYPERLINK("https://www.centcols.org/util/geo/visuGen.php?code=FR-43-1304","FR-43-1304")</f>
        <v>FR-43-1304</v>
      </c>
      <c r="K487" s="3" t="s">
        <v>3958</v>
      </c>
      <c r="L487" s="1" t="s">
        <v>3959</v>
      </c>
      <c r="M487" s="8">
        <v>0</v>
      </c>
      <c r="N487" s="8">
        <v>0</v>
      </c>
      <c r="O487" s="4"/>
      <c r="P487" s="3"/>
      <c r="Q487" s="3" t="s">
        <v>3960</v>
      </c>
      <c r="R487" s="3" t="s">
        <v>3961</v>
      </c>
      <c r="S487" s="25">
        <v>3.462286</v>
      </c>
      <c r="T487" s="25">
        <v>44.831795</v>
      </c>
      <c r="U487" s="2">
        <v>31</v>
      </c>
      <c r="V487" s="3">
        <v>536542</v>
      </c>
      <c r="W487" s="3">
        <v>4964369</v>
      </c>
      <c r="X487" s="25">
        <v>1.250762</v>
      </c>
      <c r="Y487" s="25">
        <v>49.813128</v>
      </c>
      <c r="Z487" s="6"/>
      <c r="AA487" s="7" t="s">
        <v>5138</v>
      </c>
      <c r="AB487" s="8" t="s">
        <v>5691</v>
      </c>
      <c r="AC487" s="9">
        <v>41988</v>
      </c>
      <c r="AD487" s="10"/>
      <c r="AE487" s="31" t="s">
        <v>3962</v>
      </c>
    </row>
    <row r="488" spans="1:31" ht="12.75">
      <c r="A488" s="4" t="s">
        <v>3963</v>
      </c>
      <c r="B488" s="1" t="s">
        <v>5534</v>
      </c>
      <c r="C488" s="1" t="s">
        <v>3964</v>
      </c>
      <c r="D488" s="1" t="s">
        <v>3965</v>
      </c>
      <c r="E488" s="2">
        <v>128</v>
      </c>
      <c r="F488" s="2">
        <v>20</v>
      </c>
      <c r="G488" s="3" t="s">
        <v>3966</v>
      </c>
      <c r="H488" s="3" t="s">
        <v>3967</v>
      </c>
      <c r="I488" s="3" t="s">
        <v>3968</v>
      </c>
      <c r="J488" s="44" t="str">
        <f>HYPERLINK("https://www.centcols.org/util/geo/visuGen.php?code=FR-45-0128","FR-45-0128")</f>
        <v>FR-45-0128</v>
      </c>
      <c r="K488" s="3" t="s">
        <v>3969</v>
      </c>
      <c r="L488" s="1" t="s">
        <v>3970</v>
      </c>
      <c r="M488" s="8">
        <v>0</v>
      </c>
      <c r="N488" s="8">
        <v>0</v>
      </c>
      <c r="O488" s="4"/>
      <c r="P488" s="3"/>
      <c r="Q488" s="3" t="s">
        <v>3971</v>
      </c>
      <c r="R488" s="3" t="s">
        <v>3972</v>
      </c>
      <c r="S488" s="25">
        <v>2.4037</v>
      </c>
      <c r="T488" s="25">
        <v>48.175369</v>
      </c>
      <c r="U488" s="2">
        <v>31</v>
      </c>
      <c r="V488" s="3">
        <v>455670</v>
      </c>
      <c r="W488" s="3">
        <v>5335964</v>
      </c>
      <c r="X488" s="25">
        <v>0.074635</v>
      </c>
      <c r="Y488" s="25">
        <v>53.528</v>
      </c>
      <c r="Z488" s="6"/>
      <c r="AA488" s="7" t="s">
        <v>5138</v>
      </c>
      <c r="AB488" s="8">
        <v>2011</v>
      </c>
      <c r="AC488" s="9"/>
      <c r="AD488" s="10">
        <v>1</v>
      </c>
      <c r="AE488" s="31" t="s">
        <v>4866</v>
      </c>
    </row>
    <row r="489" spans="1:31" ht="12.75">
      <c r="A489" s="4" t="s">
        <v>3973</v>
      </c>
      <c r="B489" s="1" t="s">
        <v>5534</v>
      </c>
      <c r="C489" s="1" t="s">
        <v>3974</v>
      </c>
      <c r="D489" s="1" t="s">
        <v>3975</v>
      </c>
      <c r="E489" s="2">
        <v>275</v>
      </c>
      <c r="F489" s="2">
        <v>27</v>
      </c>
      <c r="G489" s="3" t="s">
        <v>3976</v>
      </c>
      <c r="H489" s="3" t="s">
        <v>3977</v>
      </c>
      <c r="I489" s="3" t="s">
        <v>3978</v>
      </c>
      <c r="J489" s="44" t="str">
        <f>HYPERLINK("https://www.centcols.org/util/geo/visuGen.php?code=FR-45-0275","FR-45-0275")</f>
        <v>FR-45-0275</v>
      </c>
      <c r="K489" s="3" t="s">
        <v>3979</v>
      </c>
      <c r="L489" s="1" t="s">
        <v>5157</v>
      </c>
      <c r="M489" s="8">
        <v>0</v>
      </c>
      <c r="N489" s="8">
        <v>0</v>
      </c>
      <c r="O489" s="4"/>
      <c r="P489" s="3"/>
      <c r="Q489" s="3" t="s">
        <v>3980</v>
      </c>
      <c r="R489" s="3" t="s">
        <v>3981</v>
      </c>
      <c r="S489" s="25">
        <v>2.696565</v>
      </c>
      <c r="T489" s="25">
        <v>47.534171</v>
      </c>
      <c r="U489" s="2">
        <v>31</v>
      </c>
      <c r="V489" s="3">
        <v>477162</v>
      </c>
      <c r="W489" s="3">
        <v>5264572</v>
      </c>
      <c r="X489" s="25">
        <v>0.400026</v>
      </c>
      <c r="Y489" s="25">
        <v>52.815813</v>
      </c>
      <c r="Z489" s="6"/>
      <c r="AA489" s="7" t="s">
        <v>5138</v>
      </c>
      <c r="AB489" s="8">
        <v>2015</v>
      </c>
      <c r="AC489" s="9">
        <v>42045</v>
      </c>
      <c r="AD489" s="10"/>
      <c r="AE489" s="31" t="s">
        <v>3982</v>
      </c>
    </row>
    <row r="490" spans="1:31" ht="12.75">
      <c r="A490" s="4" t="s">
        <v>3983</v>
      </c>
      <c r="B490" s="1" t="s">
        <v>5262</v>
      </c>
      <c r="C490" s="1" t="s">
        <v>3984</v>
      </c>
      <c r="D490" s="1" t="s">
        <v>3984</v>
      </c>
      <c r="E490" s="2">
        <v>144</v>
      </c>
      <c r="F490" s="2">
        <v>52</v>
      </c>
      <c r="G490" s="3" t="s">
        <v>3985</v>
      </c>
      <c r="H490" s="3" t="s">
        <v>3986</v>
      </c>
      <c r="I490" s="3" t="s">
        <v>3987</v>
      </c>
      <c r="J490" s="44" t="str">
        <f>HYPERLINK("https://www.centcols.org/util/geo/visuGen.php?code=FR-46-0144","FR-46-0144")</f>
        <v>FR-46-0144</v>
      </c>
      <c r="K490" s="3" t="s">
        <v>3988</v>
      </c>
      <c r="L490" s="1" t="s">
        <v>5157</v>
      </c>
      <c r="M490" s="8">
        <v>0</v>
      </c>
      <c r="N490" s="8">
        <v>0</v>
      </c>
      <c r="O490" s="4"/>
      <c r="P490" s="3"/>
      <c r="Q490" s="3" t="s">
        <v>3989</v>
      </c>
      <c r="R490" s="3" t="s">
        <v>3990</v>
      </c>
      <c r="S490" s="25">
        <v>1.78985742</v>
      </c>
      <c r="T490" s="25">
        <v>44.917741</v>
      </c>
      <c r="U490" s="2">
        <v>31</v>
      </c>
      <c r="V490" s="3">
        <v>404486</v>
      </c>
      <c r="W490" s="3">
        <v>4974525</v>
      </c>
      <c r="X490" s="25">
        <v>-0.607417</v>
      </c>
      <c r="Y490" s="25">
        <v>49.908641</v>
      </c>
      <c r="Z490" s="6"/>
      <c r="AA490" s="7" t="s">
        <v>5138</v>
      </c>
      <c r="AB490" s="8">
        <v>2018</v>
      </c>
      <c r="AC490" s="57">
        <v>43199</v>
      </c>
      <c r="AD490" s="10"/>
      <c r="AE490" s="31" t="s">
        <v>3991</v>
      </c>
    </row>
    <row r="491" spans="1:31" ht="12.75">
      <c r="A491" s="4" t="s">
        <v>3992</v>
      </c>
      <c r="B491" s="1" t="s">
        <v>4249</v>
      </c>
      <c r="C491" s="1" t="s">
        <v>6193</v>
      </c>
      <c r="D491" s="1" t="s">
        <v>3993</v>
      </c>
      <c r="E491" s="2">
        <v>215</v>
      </c>
      <c r="F491" s="2">
        <v>48</v>
      </c>
      <c r="G491" s="3" t="s">
        <v>3994</v>
      </c>
      <c r="H491" s="3" t="s">
        <v>3995</v>
      </c>
      <c r="I491" s="3" t="s">
        <v>3996</v>
      </c>
      <c r="J491" s="44" t="str">
        <f>HYPERLINK("https://www.centcols.org/util/geo/visuGen.php?code=FR-46-0215","FR-46-0215")</f>
        <v>FR-46-0215</v>
      </c>
      <c r="K491" s="3" t="s">
        <v>3997</v>
      </c>
      <c r="L491" s="1" t="s">
        <v>5157</v>
      </c>
      <c r="M491" s="8">
        <v>0</v>
      </c>
      <c r="N491" s="8">
        <v>0</v>
      </c>
      <c r="O491" s="4"/>
      <c r="P491" s="3"/>
      <c r="Q491" s="3" t="s">
        <v>3998</v>
      </c>
      <c r="R491" s="3" t="s">
        <v>3999</v>
      </c>
      <c r="S491" s="25">
        <v>1.4425331066856004</v>
      </c>
      <c r="T491" s="25">
        <v>44.923279092225926</v>
      </c>
      <c r="U491" s="2">
        <v>31</v>
      </c>
      <c r="V491" s="3">
        <v>377084</v>
      </c>
      <c r="W491" s="3">
        <v>4975608</v>
      </c>
      <c r="X491" s="25">
        <v>-0.9933155129696721</v>
      </c>
      <c r="Y491" s="25">
        <v>49.914797417222296</v>
      </c>
      <c r="Z491" s="6"/>
      <c r="AA491" s="7" t="s">
        <v>5138</v>
      </c>
      <c r="AB491" s="8">
        <v>2011</v>
      </c>
      <c r="AC491" s="9"/>
      <c r="AD491" s="10">
        <v>1</v>
      </c>
      <c r="AE491" s="31" t="s">
        <v>4000</v>
      </c>
    </row>
    <row r="492" spans="1:31" ht="12.75">
      <c r="A492" s="4" t="s">
        <v>4001</v>
      </c>
      <c r="B492" s="1" t="s">
        <v>5128</v>
      </c>
      <c r="C492" s="1" t="s">
        <v>4002</v>
      </c>
      <c r="D492" s="1" t="s">
        <v>4003</v>
      </c>
      <c r="E492" s="2">
        <v>215</v>
      </c>
      <c r="F492" s="2">
        <v>57</v>
      </c>
      <c r="G492" s="3" t="s">
        <v>4004</v>
      </c>
      <c r="H492" s="3" t="s">
        <v>4005</v>
      </c>
      <c r="I492" s="3" t="s">
        <v>4006</v>
      </c>
      <c r="J492" s="44" t="str">
        <f>HYPERLINK("https://www.centcols.org/util/geo/visuGen.php?code=FR-46-0215a","FR-46-0215a")</f>
        <v>FR-46-0215a</v>
      </c>
      <c r="K492" s="3"/>
      <c r="L492" s="1" t="s">
        <v>6915</v>
      </c>
      <c r="M492" s="8">
        <v>1</v>
      </c>
      <c r="N492" s="8">
        <v>15</v>
      </c>
      <c r="O492" s="4"/>
      <c r="P492" s="3"/>
      <c r="Q492" s="3" t="s">
        <v>4007</v>
      </c>
      <c r="R492" s="3" t="s">
        <v>4008</v>
      </c>
      <c r="S492" s="25">
        <v>1.249281</v>
      </c>
      <c r="T492" s="25">
        <v>44.488463</v>
      </c>
      <c r="U492" s="2">
        <v>31</v>
      </c>
      <c r="V492" s="3">
        <v>360794</v>
      </c>
      <c r="W492" s="3">
        <v>4927618</v>
      </c>
      <c r="X492" s="25">
        <v>-1.208037</v>
      </c>
      <c r="Y492" s="25">
        <v>49.431664</v>
      </c>
      <c r="Z492" s="6"/>
      <c r="AA492" s="7" t="s">
        <v>5138</v>
      </c>
      <c r="AB492" s="8">
        <v>2011</v>
      </c>
      <c r="AC492" s="9"/>
      <c r="AD492" s="10">
        <v>1</v>
      </c>
      <c r="AE492" s="31" t="s">
        <v>4009</v>
      </c>
    </row>
    <row r="493" spans="1:31" ht="12.75">
      <c r="A493" s="4" t="s">
        <v>4010</v>
      </c>
      <c r="B493" s="1" t="s">
        <v>5128</v>
      </c>
      <c r="C493" s="1" t="s">
        <v>4011</v>
      </c>
      <c r="D493" s="1" t="s">
        <v>4012</v>
      </c>
      <c r="E493" s="2">
        <v>310</v>
      </c>
      <c r="F493" s="2">
        <v>48</v>
      </c>
      <c r="G493" s="3" t="s">
        <v>3994</v>
      </c>
      <c r="H493" s="3" t="s">
        <v>4013</v>
      </c>
      <c r="I493" s="3" t="s">
        <v>4014</v>
      </c>
      <c r="J493" s="44" t="str">
        <f>HYPERLINK("https://www.centcols.org/util/geo/visuGen.php?code=FR-46-0310","FR-46-0310")</f>
        <v>FR-46-0310</v>
      </c>
      <c r="K493" s="3" t="s">
        <v>4015</v>
      </c>
      <c r="L493" s="1" t="s">
        <v>4016</v>
      </c>
      <c r="M493" s="8">
        <v>0</v>
      </c>
      <c r="N493" s="8">
        <v>0</v>
      </c>
      <c r="O493" s="4"/>
      <c r="P493" s="3"/>
      <c r="Q493" s="3" t="s">
        <v>4017</v>
      </c>
      <c r="R493" s="3" t="s">
        <v>4018</v>
      </c>
      <c r="S493" s="25">
        <v>1.587645820564915</v>
      </c>
      <c r="T493" s="25">
        <v>44.82424293661897</v>
      </c>
      <c r="U493" s="2">
        <v>31</v>
      </c>
      <c r="V493" s="3">
        <v>388345</v>
      </c>
      <c r="W493" s="3">
        <v>4964397</v>
      </c>
      <c r="X493" s="25">
        <v>-0.832088125339007</v>
      </c>
      <c r="Y493" s="25">
        <v>49.804754626561966</v>
      </c>
      <c r="Z493" s="6"/>
      <c r="AA493" s="7" t="s">
        <v>5138</v>
      </c>
      <c r="AB493" s="8" t="s">
        <v>5571</v>
      </c>
      <c r="AC493" s="9">
        <v>41387</v>
      </c>
      <c r="AD493" s="10">
        <v>31</v>
      </c>
      <c r="AE493" s="31" t="s">
        <v>1306</v>
      </c>
    </row>
    <row r="494" spans="1:31" ht="12.75">
      <c r="A494" s="4" t="s">
        <v>1307</v>
      </c>
      <c r="B494" s="1" t="s">
        <v>5731</v>
      </c>
      <c r="C494" s="1" t="s">
        <v>1308</v>
      </c>
      <c r="D494" s="1" t="s">
        <v>1309</v>
      </c>
      <c r="E494" s="2">
        <v>330</v>
      </c>
      <c r="F494" s="2">
        <v>57</v>
      </c>
      <c r="G494" s="3" t="s">
        <v>1310</v>
      </c>
      <c r="H494" s="3" t="s">
        <v>1311</v>
      </c>
      <c r="I494" s="3" t="s">
        <v>1312</v>
      </c>
      <c r="J494" s="44" t="str">
        <f>HYPERLINK("https://www.centcols.org/util/geo/visuGen.php?code=FR-46-0330","FR-46-0330")</f>
        <v>FR-46-0330</v>
      </c>
      <c r="K494" s="3" t="s">
        <v>1313</v>
      </c>
      <c r="L494" s="1" t="s">
        <v>5157</v>
      </c>
      <c r="M494" s="8">
        <v>0</v>
      </c>
      <c r="N494" s="8">
        <v>0</v>
      </c>
      <c r="O494" s="4"/>
      <c r="P494" s="3"/>
      <c r="Q494" s="3" t="s">
        <v>1314</v>
      </c>
      <c r="R494" s="3" t="s">
        <v>1315</v>
      </c>
      <c r="S494" s="25">
        <v>1.8125550710503433</v>
      </c>
      <c r="T494" s="25">
        <v>44.7013473349931</v>
      </c>
      <c r="U494" s="2">
        <v>31</v>
      </c>
      <c r="V494" s="3">
        <v>405926</v>
      </c>
      <c r="W494" s="3">
        <v>4950461</v>
      </c>
      <c r="X494" s="25">
        <v>-0.5822014873643737</v>
      </c>
      <c r="Y494" s="25">
        <v>49.668200065417594</v>
      </c>
      <c r="Z494" s="6"/>
      <c r="AA494" s="7" t="s">
        <v>5138</v>
      </c>
      <c r="AB494" s="8">
        <v>2008</v>
      </c>
      <c r="AC494" s="9"/>
      <c r="AD494" s="10">
        <v>1</v>
      </c>
      <c r="AE494" s="31" t="s">
        <v>1316</v>
      </c>
    </row>
    <row r="495" spans="1:31" ht="12.75">
      <c r="A495" s="18" t="s">
        <v>1101</v>
      </c>
      <c r="B495" s="46" t="s">
        <v>5923</v>
      </c>
      <c r="C495" s="46" t="s">
        <v>1102</v>
      </c>
      <c r="D495" s="46" t="s">
        <v>1103</v>
      </c>
      <c r="E495" s="47">
        <v>614</v>
      </c>
      <c r="F495" s="47">
        <v>57</v>
      </c>
      <c r="G495" s="47" t="s">
        <v>1310</v>
      </c>
      <c r="H495" s="47" t="s">
        <v>1104</v>
      </c>
      <c r="I495" s="47" t="s">
        <v>1105</v>
      </c>
      <c r="J495" s="44" t="str">
        <f>HYPERLINK("https://www.centcols.org/util/geo/visuGen.php?code=FR-06-2609","FR-06-2609")</f>
        <v>FR-06-2609</v>
      </c>
      <c r="K495" s="47" t="s">
        <v>1106</v>
      </c>
      <c r="L495" s="46" t="s">
        <v>1107</v>
      </c>
      <c r="M495" s="47">
        <v>0</v>
      </c>
      <c r="N495" s="47">
        <v>0</v>
      </c>
      <c r="O495" s="48"/>
      <c r="P495" s="48"/>
      <c r="Q495" s="47" t="s">
        <v>1108</v>
      </c>
      <c r="R495" s="47" t="s">
        <v>6914</v>
      </c>
      <c r="S495" s="116">
        <v>1.888302</v>
      </c>
      <c r="T495" s="115">
        <v>44.804947</v>
      </c>
      <c r="U495" s="47">
        <v>31</v>
      </c>
      <c r="V495" s="3">
        <v>412084</v>
      </c>
      <c r="W495" s="3">
        <v>4961884</v>
      </c>
      <c r="X495" s="115">
        <v>-0.49804</v>
      </c>
      <c r="Y495" s="115">
        <v>49.783312</v>
      </c>
      <c r="Z495" s="48"/>
      <c r="AA495" s="7" t="s">
        <v>5138</v>
      </c>
      <c r="AB495" s="49">
        <v>2020</v>
      </c>
      <c r="AE495" s="103" t="s">
        <v>6678</v>
      </c>
    </row>
    <row r="496" spans="1:31" ht="12.75">
      <c r="A496" s="4" t="s">
        <v>1317</v>
      </c>
      <c r="B496" s="1" t="s">
        <v>5262</v>
      </c>
      <c r="C496" s="1" t="s">
        <v>3157</v>
      </c>
      <c r="D496" s="1" t="s">
        <v>3157</v>
      </c>
      <c r="E496" s="2">
        <v>130</v>
      </c>
      <c r="F496" s="2">
        <v>56</v>
      </c>
      <c r="G496" s="3" t="s">
        <v>1318</v>
      </c>
      <c r="H496" s="3" t="s">
        <v>6088</v>
      </c>
      <c r="I496" s="3" t="s">
        <v>1319</v>
      </c>
      <c r="J496" s="44" t="str">
        <f>HYPERLINK("https://www.centcols.org/util/geo/visuGen.php?code=FR-47-0130","FR-47-0130")</f>
        <v>FR-47-0130</v>
      </c>
      <c r="K496" s="3" t="s">
        <v>1320</v>
      </c>
      <c r="L496" s="1" t="s">
        <v>5157</v>
      </c>
      <c r="M496" s="8">
        <v>0</v>
      </c>
      <c r="N496" s="8">
        <v>0</v>
      </c>
      <c r="O496" s="4"/>
      <c r="P496" s="3"/>
      <c r="Q496" s="3" t="s">
        <v>1321</v>
      </c>
      <c r="R496" s="3" t="s">
        <v>1322</v>
      </c>
      <c r="S496" s="25">
        <v>0.575788</v>
      </c>
      <c r="T496" s="25">
        <v>44.457728</v>
      </c>
      <c r="U496" s="2">
        <v>31</v>
      </c>
      <c r="V496" s="3">
        <v>307140</v>
      </c>
      <c r="W496" s="3">
        <v>4925572</v>
      </c>
      <c r="X496" s="25">
        <v>-1.9563286560457416</v>
      </c>
      <c r="Y496" s="25">
        <v>49.39751823102426</v>
      </c>
      <c r="Z496" s="6"/>
      <c r="AA496" s="7" t="s">
        <v>5138</v>
      </c>
      <c r="AB496" s="8">
        <v>2015</v>
      </c>
      <c r="AC496" s="9">
        <v>42045</v>
      </c>
      <c r="AD496" s="10"/>
      <c r="AE496" s="31" t="s">
        <v>1323</v>
      </c>
    </row>
    <row r="497" spans="1:31" ht="12.75">
      <c r="A497" s="75" t="s">
        <v>1324</v>
      </c>
      <c r="B497" s="77" t="s">
        <v>5262</v>
      </c>
      <c r="C497" s="77" t="s">
        <v>1325</v>
      </c>
      <c r="D497" s="77" t="s">
        <v>1325</v>
      </c>
      <c r="E497" s="76">
        <v>133</v>
      </c>
      <c r="F497" s="74">
        <v>56</v>
      </c>
      <c r="G497" s="76" t="s">
        <v>1318</v>
      </c>
      <c r="H497" s="76" t="s">
        <v>6911</v>
      </c>
      <c r="I497" s="76" t="s">
        <v>6912</v>
      </c>
      <c r="J497" s="126" t="str">
        <f>HYPERLINK("https://www.centcols.org/util/geo/visuGen.php?code=FR-47-0133","FR-47-0133")</f>
        <v>FR-47-0133</v>
      </c>
      <c r="K497" s="76" t="s">
        <v>1326</v>
      </c>
      <c r="L497" s="77" t="s">
        <v>5157</v>
      </c>
      <c r="M497" s="76">
        <v>0</v>
      </c>
      <c r="N497" s="76">
        <v>0</v>
      </c>
      <c r="O497" s="75"/>
      <c r="P497" s="76"/>
      <c r="Q497" s="76" t="s">
        <v>6913</v>
      </c>
      <c r="R497" s="76" t="s">
        <v>6984</v>
      </c>
      <c r="S497" s="118">
        <v>0.6526807857379295</v>
      </c>
      <c r="T497" s="118">
        <v>44.38559902314119</v>
      </c>
      <c r="U497" s="76">
        <v>31</v>
      </c>
      <c r="V497" s="3">
        <v>313028</v>
      </c>
      <c r="W497" s="3">
        <v>4917382</v>
      </c>
      <c r="X497" s="118">
        <v>-1.8708976953528647</v>
      </c>
      <c r="Y497" s="125">
        <v>49.31737324785684</v>
      </c>
      <c r="Z497" s="75"/>
      <c r="AA497" s="76" t="s">
        <v>5138</v>
      </c>
      <c r="AB497" s="72">
        <v>2018</v>
      </c>
      <c r="AC497" s="73">
        <v>43250</v>
      </c>
      <c r="AD497" s="79"/>
      <c r="AE497" s="78" t="s">
        <v>1327</v>
      </c>
    </row>
    <row r="498" spans="1:31" ht="12.75">
      <c r="A498" s="4" t="s">
        <v>1328</v>
      </c>
      <c r="B498" s="1" t="s">
        <v>5128</v>
      </c>
      <c r="C498" s="1" t="s">
        <v>1329</v>
      </c>
      <c r="D498" s="1" t="s">
        <v>1330</v>
      </c>
      <c r="E498" s="2">
        <v>740</v>
      </c>
      <c r="F498" s="2">
        <v>59</v>
      </c>
      <c r="G498" s="3" t="s">
        <v>1331</v>
      </c>
      <c r="H498" s="3" t="s">
        <v>1332</v>
      </c>
      <c r="I498" s="3" t="s">
        <v>1333</v>
      </c>
      <c r="J498" s="44" t="str">
        <f>HYPERLINK("https://www.centcols.org/util/geo/visuGen.php?code=FR-48-0740","FR-48-0740")</f>
        <v>FR-48-0740</v>
      </c>
      <c r="K498" s="3" t="s">
        <v>1334</v>
      </c>
      <c r="L498" s="1" t="s">
        <v>1335</v>
      </c>
      <c r="M498" s="8">
        <v>0</v>
      </c>
      <c r="N498" s="8">
        <v>0</v>
      </c>
      <c r="O498" s="4"/>
      <c r="P498" s="3"/>
      <c r="Q498" s="3" t="s">
        <v>1336</v>
      </c>
      <c r="R498" s="3" t="s">
        <v>1337</v>
      </c>
      <c r="S498" s="25">
        <v>3.881576</v>
      </c>
      <c r="T498" s="25">
        <v>44.279474</v>
      </c>
      <c r="U498" s="2">
        <v>31</v>
      </c>
      <c r="V498" s="3">
        <v>570347</v>
      </c>
      <c r="W498" s="3">
        <v>4903292</v>
      </c>
      <c r="X498" s="25">
        <v>1.716612</v>
      </c>
      <c r="Y498" s="25">
        <v>49.199</v>
      </c>
      <c r="Z498" s="6"/>
      <c r="AA498" s="7" t="s">
        <v>5138</v>
      </c>
      <c r="AB498" s="8" t="s">
        <v>5571</v>
      </c>
      <c r="AC498" s="9"/>
      <c r="AD498" s="10">
        <v>1</v>
      </c>
      <c r="AE498" s="31" t="s">
        <v>1338</v>
      </c>
    </row>
    <row r="499" spans="1:31" ht="12.75">
      <c r="A499" s="4" t="s">
        <v>1339</v>
      </c>
      <c r="B499" s="1" t="s">
        <v>5128</v>
      </c>
      <c r="C499" s="1" t="s">
        <v>1340</v>
      </c>
      <c r="D499" s="1" t="s">
        <v>1341</v>
      </c>
      <c r="E499" s="2">
        <v>798</v>
      </c>
      <c r="F499" s="2">
        <v>59</v>
      </c>
      <c r="G499" s="3" t="s">
        <v>1342</v>
      </c>
      <c r="H499" s="3" t="s">
        <v>1343</v>
      </c>
      <c r="I499" s="3" t="s">
        <v>1344</v>
      </c>
      <c r="J499" s="44" t="str">
        <f>HYPERLINK("https://www.centcols.org/util/geo/visuGen.php?code=FR-48-0798","FR-48-0798")</f>
        <v>FR-48-0798</v>
      </c>
      <c r="K499" s="3" t="s">
        <v>1345</v>
      </c>
      <c r="L499" s="1" t="s">
        <v>5157</v>
      </c>
      <c r="M499" s="8">
        <v>0</v>
      </c>
      <c r="N499" s="8">
        <v>0</v>
      </c>
      <c r="O499" s="4"/>
      <c r="P499" s="3"/>
      <c r="Q499" s="3" t="s">
        <v>1346</v>
      </c>
      <c r="R499" s="3" t="s">
        <v>1347</v>
      </c>
      <c r="S499" s="25">
        <v>3.9552138259545524</v>
      </c>
      <c r="T499" s="25">
        <v>44.43119693295764</v>
      </c>
      <c r="U499" s="2">
        <v>31</v>
      </c>
      <c r="V499" s="3">
        <v>576027</v>
      </c>
      <c r="W499" s="3">
        <v>4920210</v>
      </c>
      <c r="X499" s="25">
        <v>1.798429441728688</v>
      </c>
      <c r="Y499" s="25">
        <v>49.36800830397097</v>
      </c>
      <c r="Z499" s="6"/>
      <c r="AA499" s="7" t="s">
        <v>5138</v>
      </c>
      <c r="AB499" s="8" t="s">
        <v>6200</v>
      </c>
      <c r="AC499" s="9">
        <v>41386</v>
      </c>
      <c r="AD499" s="10">
        <v>30</v>
      </c>
      <c r="AE499" s="31" t="s">
        <v>1338</v>
      </c>
    </row>
    <row r="500" spans="1:31" ht="12.75">
      <c r="A500" s="4" t="s">
        <v>1348</v>
      </c>
      <c r="B500" s="1" t="s">
        <v>5589</v>
      </c>
      <c r="C500" s="1" t="s">
        <v>5590</v>
      </c>
      <c r="D500" s="1" t="s">
        <v>5591</v>
      </c>
      <c r="E500" s="2">
        <v>880</v>
      </c>
      <c r="F500" s="2">
        <v>59</v>
      </c>
      <c r="G500" s="3" t="s">
        <v>1331</v>
      </c>
      <c r="H500" s="3" t="s">
        <v>1349</v>
      </c>
      <c r="I500" s="3" t="s">
        <v>1350</v>
      </c>
      <c r="J500" s="44" t="str">
        <f>HYPERLINK("https://www.centcols.org/util/geo/visuGen.php?code=FR-48-0880","FR-48-0880")</f>
        <v>FR-48-0880</v>
      </c>
      <c r="K500" s="3"/>
      <c r="L500" s="1" t="s">
        <v>1351</v>
      </c>
      <c r="M500" s="8">
        <v>99</v>
      </c>
      <c r="N500" s="8">
        <v>15</v>
      </c>
      <c r="O500" s="4"/>
      <c r="P500" s="3"/>
      <c r="Q500" s="3" t="s">
        <v>1352</v>
      </c>
      <c r="R500" s="3" t="s">
        <v>1353</v>
      </c>
      <c r="S500" s="25">
        <v>3.857268</v>
      </c>
      <c r="T500" s="25">
        <v>44.223624</v>
      </c>
      <c r="U500" s="2">
        <v>31</v>
      </c>
      <c r="V500" s="3">
        <v>568472</v>
      </c>
      <c r="W500" s="3">
        <v>4897068</v>
      </c>
      <c r="X500" s="25">
        <v>1.689603</v>
      </c>
      <c r="Y500" s="25">
        <v>49.137369</v>
      </c>
      <c r="Z500" s="6"/>
      <c r="AA500" s="7" t="s">
        <v>5138</v>
      </c>
      <c r="AB500" s="8">
        <v>2015</v>
      </c>
      <c r="AC500" s="9">
        <v>42297</v>
      </c>
      <c r="AD500" s="10"/>
      <c r="AE500" s="31" t="s">
        <v>4106</v>
      </c>
    </row>
    <row r="501" spans="1:31" ht="12.75">
      <c r="A501" s="4" t="s">
        <v>4107</v>
      </c>
      <c r="B501" s="1" t="s">
        <v>5128</v>
      </c>
      <c r="C501" s="1" t="s">
        <v>4108</v>
      </c>
      <c r="D501" s="1" t="s">
        <v>4109</v>
      </c>
      <c r="E501" s="2">
        <v>908</v>
      </c>
      <c r="F501" s="2">
        <v>58</v>
      </c>
      <c r="G501" s="3" t="s">
        <v>4110</v>
      </c>
      <c r="H501" s="3" t="s">
        <v>4111</v>
      </c>
      <c r="I501" s="3" t="s">
        <v>4112</v>
      </c>
      <c r="J501" s="44" t="str">
        <f>HYPERLINK("https://www.centcols.org/util/geo/visuGen.php?code=FR-48-0908","FR-48-0908")</f>
        <v>FR-48-0908</v>
      </c>
      <c r="K501" s="3" t="s">
        <v>4113</v>
      </c>
      <c r="L501" s="1" t="s">
        <v>4114</v>
      </c>
      <c r="M501" s="8">
        <v>0</v>
      </c>
      <c r="N501" s="8">
        <v>0</v>
      </c>
      <c r="O501" s="4"/>
      <c r="P501" s="3"/>
      <c r="Q501" s="3" t="s">
        <v>4115</v>
      </c>
      <c r="R501" s="3" t="s">
        <v>4116</v>
      </c>
      <c r="S501" s="25">
        <v>3.20860000069945</v>
      </c>
      <c r="T501" s="25">
        <v>44.278468886623266</v>
      </c>
      <c r="U501" s="2">
        <v>31</v>
      </c>
      <c r="V501" s="3">
        <v>516646</v>
      </c>
      <c r="W501" s="3">
        <v>4902824</v>
      </c>
      <c r="X501" s="25">
        <v>0.9688897801543269</v>
      </c>
      <c r="Y501" s="25">
        <v>49.19831329901775</v>
      </c>
      <c r="Z501" s="6"/>
      <c r="AA501" s="7" t="s">
        <v>5138</v>
      </c>
      <c r="AB501" s="8" t="s">
        <v>5571</v>
      </c>
      <c r="AC501" s="9">
        <v>41247</v>
      </c>
      <c r="AD501" s="10">
        <v>4</v>
      </c>
      <c r="AE501" s="31" t="s">
        <v>1354</v>
      </c>
    </row>
    <row r="502" spans="1:31" ht="12.75">
      <c r="A502" s="4" t="s">
        <v>1355</v>
      </c>
      <c r="B502" s="1" t="s">
        <v>5262</v>
      </c>
      <c r="C502" s="1" t="s">
        <v>1356</v>
      </c>
      <c r="D502" s="1" t="s">
        <v>1356</v>
      </c>
      <c r="E502" s="2">
        <v>1012</v>
      </c>
      <c r="F502" s="2">
        <v>58</v>
      </c>
      <c r="G502" s="3" t="s">
        <v>1357</v>
      </c>
      <c r="H502" s="3" t="s">
        <v>1358</v>
      </c>
      <c r="I502" s="3" t="s">
        <v>1359</v>
      </c>
      <c r="J502" s="44" t="str">
        <f>HYPERLINK("https://www.centcols.org/util/geo/visuGen.php?code=FR-48-1012","FR-48-1012")</f>
        <v>FR-48-1012</v>
      </c>
      <c r="K502" s="3" t="s">
        <v>1360</v>
      </c>
      <c r="L502" s="1" t="s">
        <v>5157</v>
      </c>
      <c r="M502" s="8">
        <v>0</v>
      </c>
      <c r="N502" s="8">
        <v>0</v>
      </c>
      <c r="O502" s="4"/>
      <c r="P502" s="3"/>
      <c r="Q502" s="3" t="s">
        <v>1361</v>
      </c>
      <c r="R502" s="3" t="s">
        <v>1362</v>
      </c>
      <c r="S502" s="25">
        <v>3.270842295032498</v>
      </c>
      <c r="T502" s="25">
        <v>44.61192840364658</v>
      </c>
      <c r="U502" s="2">
        <v>31</v>
      </c>
      <c r="V502" s="3">
        <v>521490</v>
      </c>
      <c r="W502" s="3">
        <v>4939878</v>
      </c>
      <c r="X502" s="25">
        <v>1.0380512027107458</v>
      </c>
      <c r="Y502" s="25">
        <v>49.568829189400745</v>
      </c>
      <c r="Z502" s="6"/>
      <c r="AA502" s="7" t="s">
        <v>5138</v>
      </c>
      <c r="AB502" s="8" t="s">
        <v>5571</v>
      </c>
      <c r="AC502" s="9">
        <v>41253</v>
      </c>
      <c r="AD502" s="10">
        <v>6</v>
      </c>
      <c r="AE502" s="31" t="s">
        <v>4836</v>
      </c>
    </row>
    <row r="503" spans="1:31" ht="12.75">
      <c r="A503" s="4" t="s">
        <v>1363</v>
      </c>
      <c r="B503" s="1" t="s">
        <v>4347</v>
      </c>
      <c r="C503" s="1" t="s">
        <v>1364</v>
      </c>
      <c r="D503" s="1" t="s">
        <v>1365</v>
      </c>
      <c r="E503" s="2">
        <v>1086</v>
      </c>
      <c r="F503" s="2">
        <v>50</v>
      </c>
      <c r="G503" s="3" t="s">
        <v>1366</v>
      </c>
      <c r="H503" s="3" t="s">
        <v>1367</v>
      </c>
      <c r="I503" s="3" t="s">
        <v>1368</v>
      </c>
      <c r="J503" s="44" t="str">
        <f>HYPERLINK("https://www.centcols.org/util/geo/visuGen.php?code=FR-48-1086","FR-48-1086")</f>
        <v>FR-48-1086</v>
      </c>
      <c r="K503" s="3"/>
      <c r="L503" s="1" t="s">
        <v>5138</v>
      </c>
      <c r="M503" s="8">
        <v>35</v>
      </c>
      <c r="N503" s="8">
        <v>10</v>
      </c>
      <c r="O503" s="4"/>
      <c r="P503" s="3"/>
      <c r="Q503" s="3" t="s">
        <v>1369</v>
      </c>
      <c r="R503" s="3" t="s">
        <v>1370</v>
      </c>
      <c r="S503" s="25">
        <v>3.31344</v>
      </c>
      <c r="T503" s="25">
        <v>44.810629</v>
      </c>
      <c r="U503" s="2">
        <v>31</v>
      </c>
      <c r="V503" s="3">
        <v>524785</v>
      </c>
      <c r="W503" s="3">
        <v>4961962</v>
      </c>
      <c r="X503" s="25">
        <v>1.085383</v>
      </c>
      <c r="Y503" s="25">
        <v>49.79</v>
      </c>
      <c r="Z503" s="6"/>
      <c r="AA503" s="7" t="s">
        <v>5138</v>
      </c>
      <c r="AB503" s="8">
        <v>2011</v>
      </c>
      <c r="AC503" s="9"/>
      <c r="AD503" s="10">
        <v>1</v>
      </c>
      <c r="AE503" s="31" t="s">
        <v>3676</v>
      </c>
    </row>
    <row r="504" spans="1:31" ht="12.75">
      <c r="A504" s="4" t="s">
        <v>1371</v>
      </c>
      <c r="B504" s="1" t="s">
        <v>5923</v>
      </c>
      <c r="C504" s="1" t="s">
        <v>1372</v>
      </c>
      <c r="D504" s="1" t="s">
        <v>1373</v>
      </c>
      <c r="E504" s="2">
        <v>1235</v>
      </c>
      <c r="F504" s="2">
        <v>58</v>
      </c>
      <c r="G504" s="3" t="s">
        <v>1374</v>
      </c>
      <c r="H504" s="3" t="s">
        <v>1375</v>
      </c>
      <c r="I504" s="3" t="s">
        <v>1376</v>
      </c>
      <c r="J504" s="44" t="str">
        <f>HYPERLINK("https://www.centcols.org/util/geo/visuGen.php?code=FR-48-1230","FR-48-1230")</f>
        <v>FR-48-1230</v>
      </c>
      <c r="K504" s="3" t="s">
        <v>1377</v>
      </c>
      <c r="L504" s="1" t="s">
        <v>1378</v>
      </c>
      <c r="M504" s="8">
        <v>0</v>
      </c>
      <c r="N504" s="8">
        <v>0</v>
      </c>
      <c r="O504" s="4"/>
      <c r="P504" s="3"/>
      <c r="Q504" s="3" t="s">
        <v>1379</v>
      </c>
      <c r="R504" s="3" t="s">
        <v>1380</v>
      </c>
      <c r="S504" s="25">
        <v>3.486306</v>
      </c>
      <c r="T504" s="25">
        <v>44.602298</v>
      </c>
      <c r="U504" s="2">
        <v>31</v>
      </c>
      <c r="V504" s="3">
        <v>538593</v>
      </c>
      <c r="W504" s="3">
        <v>4938887</v>
      </c>
      <c r="X504" s="25">
        <v>1.277446</v>
      </c>
      <c r="Y504" s="25">
        <v>49.558127</v>
      </c>
      <c r="Z504" s="6"/>
      <c r="AA504" s="7" t="s">
        <v>5176</v>
      </c>
      <c r="AB504" s="8" t="s">
        <v>5571</v>
      </c>
      <c r="AC504" s="9"/>
      <c r="AD504" s="10">
        <v>1</v>
      </c>
      <c r="AE504" s="31" t="s">
        <v>1381</v>
      </c>
    </row>
    <row r="505" spans="1:31" ht="12.75">
      <c r="A505" s="4" t="s">
        <v>1382</v>
      </c>
      <c r="B505" s="1" t="s">
        <v>5262</v>
      </c>
      <c r="C505" s="1" t="s">
        <v>1383</v>
      </c>
      <c r="D505" s="1" t="s">
        <v>1383</v>
      </c>
      <c r="E505" s="2">
        <v>1407</v>
      </c>
      <c r="F505" s="2">
        <v>58</v>
      </c>
      <c r="G505" s="3" t="s">
        <v>3108</v>
      </c>
      <c r="H505" s="3" t="s">
        <v>1384</v>
      </c>
      <c r="I505" s="3" t="s">
        <v>1385</v>
      </c>
      <c r="J505" s="44" t="str">
        <f>HYPERLINK("https://www.centcols.org/util/geo/visuGen.php?code=FR-48-1407","FR-48-1407")</f>
        <v>FR-48-1407</v>
      </c>
      <c r="K505" s="3" t="s">
        <v>1386</v>
      </c>
      <c r="L505" s="1" t="s">
        <v>1387</v>
      </c>
      <c r="M505" s="8">
        <v>0</v>
      </c>
      <c r="N505" s="8">
        <v>0</v>
      </c>
      <c r="O505" s="4"/>
      <c r="P505" s="3"/>
      <c r="Q505" s="3" t="s">
        <v>1388</v>
      </c>
      <c r="R505" s="3" t="s">
        <v>1389</v>
      </c>
      <c r="S505" s="25">
        <v>3.5627280930906586</v>
      </c>
      <c r="T505" s="25">
        <v>44.14541986158347</v>
      </c>
      <c r="U505" s="2">
        <v>31</v>
      </c>
      <c r="V505" s="3">
        <v>545006</v>
      </c>
      <c r="W505" s="3">
        <v>4888178</v>
      </c>
      <c r="X505" s="25">
        <v>1.3623482153266113</v>
      </c>
      <c r="Y505" s="25">
        <v>49.05047709371376</v>
      </c>
      <c r="Z505" s="6"/>
      <c r="AA505" s="7" t="s">
        <v>5138</v>
      </c>
      <c r="AB505" s="8">
        <v>2007</v>
      </c>
      <c r="AC505" s="9"/>
      <c r="AD505" s="10">
        <v>1</v>
      </c>
      <c r="AE505" s="31" t="s">
        <v>1390</v>
      </c>
    </row>
    <row r="506" spans="1:31" ht="12.75">
      <c r="A506" s="4" t="s">
        <v>1391</v>
      </c>
      <c r="B506" s="1" t="s">
        <v>5923</v>
      </c>
      <c r="C506" s="1" t="s">
        <v>1392</v>
      </c>
      <c r="D506" s="1" t="s">
        <v>1393</v>
      </c>
      <c r="E506" s="2">
        <v>212</v>
      </c>
      <c r="F506" s="2">
        <v>25</v>
      </c>
      <c r="G506" s="3" t="s">
        <v>1394</v>
      </c>
      <c r="H506" s="3" t="s">
        <v>1395</v>
      </c>
      <c r="I506" s="3" t="s">
        <v>1396</v>
      </c>
      <c r="J506" s="44" t="str">
        <f>HYPERLINK("https://www.centcols.org/util/geo/visuGen.php?code=FR-49-0212","FR-49-0212")</f>
        <v>FR-49-0212</v>
      </c>
      <c r="K506" s="3" t="s">
        <v>1397</v>
      </c>
      <c r="L506" s="1" t="s">
        <v>1398</v>
      </c>
      <c r="M506" s="8">
        <v>0</v>
      </c>
      <c r="N506" s="8">
        <v>0</v>
      </c>
      <c r="O506" s="4"/>
      <c r="P506" s="3"/>
      <c r="Q506" s="3" t="s">
        <v>1399</v>
      </c>
      <c r="R506" s="3" t="s">
        <v>1400</v>
      </c>
      <c r="S506" s="25">
        <v>-0.7024275183370747</v>
      </c>
      <c r="T506" s="25">
        <v>47.15281485061086</v>
      </c>
      <c r="U506" s="2">
        <v>30</v>
      </c>
      <c r="V506" s="3">
        <v>674172</v>
      </c>
      <c r="W506" s="3">
        <v>5224707</v>
      </c>
      <c r="X506" s="25">
        <v>-3.376479516155932</v>
      </c>
      <c r="Y506" s="25">
        <v>52.392095728349716</v>
      </c>
      <c r="Z506" s="6"/>
      <c r="AA506" s="7" t="s">
        <v>5138</v>
      </c>
      <c r="AB506" s="8" t="s">
        <v>5571</v>
      </c>
      <c r="AC506" s="9">
        <v>41307</v>
      </c>
      <c r="AD506" s="10">
        <v>21</v>
      </c>
      <c r="AE506" s="31" t="s">
        <v>1401</v>
      </c>
    </row>
    <row r="507" spans="1:31" ht="12.75">
      <c r="A507" s="4" t="s">
        <v>1402</v>
      </c>
      <c r="B507" s="1" t="s">
        <v>5574</v>
      </c>
      <c r="C507" s="1" t="s">
        <v>1403</v>
      </c>
      <c r="D507" s="1" t="s">
        <v>1404</v>
      </c>
      <c r="E507" s="2">
        <v>462</v>
      </c>
      <c r="F507" s="2">
        <v>29</v>
      </c>
      <c r="G507" s="3" t="s">
        <v>1405</v>
      </c>
      <c r="H507" s="3" t="s">
        <v>1406</v>
      </c>
      <c r="I507" s="3" t="s">
        <v>1407</v>
      </c>
      <c r="J507" s="44" t="str">
        <f>HYPERLINK("https://www.centcols.org/util/geo/visuGen.php?code=FR-52-0462","FR-52-0462")</f>
        <v>FR-52-0462</v>
      </c>
      <c r="K507" s="3"/>
      <c r="L507" s="1" t="s">
        <v>5176</v>
      </c>
      <c r="M507" s="8">
        <v>99</v>
      </c>
      <c r="N507" s="8">
        <v>15</v>
      </c>
      <c r="O507" s="4"/>
      <c r="P507" s="3"/>
      <c r="Q507" s="3" t="s">
        <v>1408</v>
      </c>
      <c r="R507" s="3" t="s">
        <v>1409</v>
      </c>
      <c r="S507" s="25">
        <v>5.076336</v>
      </c>
      <c r="T507" s="25">
        <v>47.734978</v>
      </c>
      <c r="U507" s="2">
        <v>31</v>
      </c>
      <c r="V507" s="3">
        <v>655674</v>
      </c>
      <c r="W507" s="3">
        <v>5288933</v>
      </c>
      <c r="X507" s="25">
        <v>3.044114</v>
      </c>
      <c r="Y507" s="25">
        <v>53.038931</v>
      </c>
      <c r="Z507" s="6"/>
      <c r="AA507" s="7" t="s">
        <v>5138</v>
      </c>
      <c r="AB507" s="8">
        <v>2016</v>
      </c>
      <c r="AC507" s="9"/>
      <c r="AD507" s="10"/>
      <c r="AE507" s="31" t="s">
        <v>1410</v>
      </c>
    </row>
    <row r="508" spans="1:31" ht="12.75">
      <c r="A508" s="4" t="s">
        <v>1411</v>
      </c>
      <c r="B508" s="1" t="s">
        <v>5815</v>
      </c>
      <c r="C508" s="1" t="s">
        <v>1412</v>
      </c>
      <c r="D508" s="1" t="s">
        <v>1413</v>
      </c>
      <c r="E508" s="2">
        <v>230</v>
      </c>
      <c r="F508" s="2">
        <v>17</v>
      </c>
      <c r="G508" s="3" t="s">
        <v>1414</v>
      </c>
      <c r="H508" s="3" t="s">
        <v>1415</v>
      </c>
      <c r="I508" s="3" t="s">
        <v>1416</v>
      </c>
      <c r="J508" s="44" t="str">
        <f>HYPERLINK("https://www.centcols.org/util/geo/visuGen.php?code=FR-53-0230","FR-53-0230")</f>
        <v>FR-53-0230</v>
      </c>
      <c r="K508" s="3" t="s">
        <v>1417</v>
      </c>
      <c r="L508" s="1" t="s">
        <v>5157</v>
      </c>
      <c r="M508" s="8">
        <v>0</v>
      </c>
      <c r="N508" s="8">
        <v>0</v>
      </c>
      <c r="O508" s="4"/>
      <c r="P508" s="3"/>
      <c r="Q508" s="3" t="s">
        <v>1418</v>
      </c>
      <c r="R508" s="3" t="s">
        <v>1419</v>
      </c>
      <c r="S508" s="25">
        <v>-0.24900733267373992</v>
      </c>
      <c r="T508" s="25">
        <v>48.16373458353934</v>
      </c>
      <c r="U508" s="2">
        <v>30</v>
      </c>
      <c r="V508" s="3">
        <v>704553</v>
      </c>
      <c r="W508" s="3">
        <v>5338159</v>
      </c>
      <c r="X508" s="25">
        <v>-2.8727020472906335</v>
      </c>
      <c r="Y508" s="25">
        <v>53.51534128229272</v>
      </c>
      <c r="Z508" s="6"/>
      <c r="AA508" s="7" t="s">
        <v>5138</v>
      </c>
      <c r="AB508" s="8">
        <v>2002</v>
      </c>
      <c r="AC508" s="9"/>
      <c r="AD508" s="10">
        <v>1</v>
      </c>
      <c r="AE508" s="31" t="s">
        <v>4128</v>
      </c>
    </row>
    <row r="509" spans="1:31" ht="22.5">
      <c r="A509" s="32" t="s">
        <v>1420</v>
      </c>
      <c r="B509" s="20" t="s">
        <v>1421</v>
      </c>
      <c r="C509" s="20" t="s">
        <v>1422</v>
      </c>
      <c r="D509" s="13" t="s">
        <v>1423</v>
      </c>
      <c r="E509" s="14">
        <v>177</v>
      </c>
      <c r="F509" s="14">
        <v>10</v>
      </c>
      <c r="G509" s="15" t="s">
        <v>1424</v>
      </c>
      <c r="H509" s="15" t="s">
        <v>1425</v>
      </c>
      <c r="I509" s="15" t="s">
        <v>1426</v>
      </c>
      <c r="J509" s="44" t="str">
        <f>HYPERLINK("https://www.centcols.org/util/geo/visuGen.php?code=FR-55-0177","FR-55-0177")</f>
        <v>FR-55-0177</v>
      </c>
      <c r="K509" s="15"/>
      <c r="L509" s="13"/>
      <c r="M509" s="14">
        <v>99</v>
      </c>
      <c r="N509" s="14">
        <v>20</v>
      </c>
      <c r="O509" s="16"/>
      <c r="P509" s="15"/>
      <c r="Q509" s="15" t="s">
        <v>1427</v>
      </c>
      <c r="R509" s="15" t="s">
        <v>1428</v>
      </c>
      <c r="S509" s="59">
        <v>5.033748</v>
      </c>
      <c r="T509" s="59">
        <v>49.100102</v>
      </c>
      <c r="U509" s="17">
        <v>31</v>
      </c>
      <c r="V509" s="3">
        <v>648451</v>
      </c>
      <c r="W509" s="3">
        <v>5440576</v>
      </c>
      <c r="X509" s="59">
        <v>2.9968012620299196</v>
      </c>
      <c r="Y509" s="59">
        <v>54.555753857872325</v>
      </c>
      <c r="Z509" s="18"/>
      <c r="AA509" s="19" t="s">
        <v>5138</v>
      </c>
      <c r="AB509" s="19">
        <v>2018</v>
      </c>
      <c r="AC509" s="12">
        <v>43250</v>
      </c>
      <c r="AD509" s="19"/>
      <c r="AE509" s="23" t="s">
        <v>1429</v>
      </c>
    </row>
    <row r="510" spans="1:31" ht="12.75">
      <c r="A510" s="32" t="s">
        <v>1430</v>
      </c>
      <c r="B510" s="20" t="s">
        <v>5279</v>
      </c>
      <c r="C510" s="20" t="s">
        <v>5328</v>
      </c>
      <c r="D510" s="13" t="s">
        <v>1431</v>
      </c>
      <c r="E510" s="14">
        <v>194</v>
      </c>
      <c r="F510" s="14">
        <v>10</v>
      </c>
      <c r="G510" s="15" t="s">
        <v>1432</v>
      </c>
      <c r="H510" s="15" t="s">
        <v>1433</v>
      </c>
      <c r="I510" s="15" t="s">
        <v>1434</v>
      </c>
      <c r="J510" s="44" t="str">
        <f>HYPERLINK("https://www.centcols.org/util/geo/visuGen.php?code=FR-55-0194","FR-55-0194")</f>
        <v>FR-55-0194</v>
      </c>
      <c r="K510" s="15"/>
      <c r="L510" s="13"/>
      <c r="M510" s="14">
        <v>99</v>
      </c>
      <c r="N510" s="14">
        <v>20</v>
      </c>
      <c r="O510" s="16"/>
      <c r="P510" s="15"/>
      <c r="Q510" s="15" t="s">
        <v>1435</v>
      </c>
      <c r="R510" s="15" t="s">
        <v>1436</v>
      </c>
      <c r="S510" s="59">
        <v>5.03874</v>
      </c>
      <c r="T510" s="59">
        <v>49.103</v>
      </c>
      <c r="U510" s="17">
        <v>31</v>
      </c>
      <c r="V510" s="3">
        <v>648806</v>
      </c>
      <c r="W510" s="3">
        <v>5440907</v>
      </c>
      <c r="X510" s="59">
        <v>3.0023477242933883</v>
      </c>
      <c r="Y510" s="59">
        <v>54.55897389907725</v>
      </c>
      <c r="Z510" s="18"/>
      <c r="AA510" s="19" t="s">
        <v>5138</v>
      </c>
      <c r="AB510" s="19">
        <v>2018</v>
      </c>
      <c r="AC510" s="12">
        <v>43250</v>
      </c>
      <c r="AD510" s="19"/>
      <c r="AE510" s="23" t="s">
        <v>5287</v>
      </c>
    </row>
    <row r="511" spans="1:31" ht="12.75">
      <c r="A511" s="104" t="s">
        <v>1437</v>
      </c>
      <c r="B511" s="1" t="s">
        <v>5262</v>
      </c>
      <c r="C511" s="1" t="s">
        <v>1438</v>
      </c>
      <c r="D511" s="1" t="s">
        <v>1438</v>
      </c>
      <c r="E511" s="2">
        <v>251</v>
      </c>
      <c r="F511" s="2">
        <v>10</v>
      </c>
      <c r="G511" s="3" t="s">
        <v>1439</v>
      </c>
      <c r="H511" s="3" t="s">
        <v>1440</v>
      </c>
      <c r="I511" s="3" t="s">
        <v>1441</v>
      </c>
      <c r="J511" s="44" t="str">
        <f>HYPERLINK("https://www.centcols.org/util/geo/visuGen.php?code=FR-55-0251","FR-55-0251")</f>
        <v>FR-55-0251</v>
      </c>
      <c r="K511" s="3"/>
      <c r="L511" s="1"/>
      <c r="M511" s="2">
        <v>99</v>
      </c>
      <c r="N511" s="2">
        <v>20</v>
      </c>
      <c r="O511" s="5"/>
      <c r="P511" s="3"/>
      <c r="Q511" s="3" t="s">
        <v>1442</v>
      </c>
      <c r="R511" s="3" t="s">
        <v>1443</v>
      </c>
      <c r="S511" s="59">
        <v>5.437562</v>
      </c>
      <c r="T511" s="59">
        <v>49.525584</v>
      </c>
      <c r="U511" s="22">
        <v>31</v>
      </c>
      <c r="V511" s="3">
        <v>676398</v>
      </c>
      <c r="W511" s="3">
        <v>5488740</v>
      </c>
      <c r="X511" s="25">
        <v>3.44546278721244</v>
      </c>
      <c r="Y511" s="25">
        <v>55.02851429737258</v>
      </c>
      <c r="Z511" s="18"/>
      <c r="AA511" s="19" t="s">
        <v>5138</v>
      </c>
      <c r="AB511" s="19">
        <v>2018</v>
      </c>
      <c r="AC511" s="12">
        <v>43250</v>
      </c>
      <c r="AD511" s="19"/>
      <c r="AE511" s="23" t="s">
        <v>1444</v>
      </c>
    </row>
    <row r="512" spans="1:31" ht="12.75">
      <c r="A512" s="18" t="s">
        <v>1445</v>
      </c>
      <c r="B512" s="62" t="s">
        <v>1446</v>
      </c>
      <c r="C512" s="62" t="s">
        <v>1447</v>
      </c>
      <c r="D512" s="62" t="s">
        <v>1448</v>
      </c>
      <c r="E512" s="24">
        <v>57</v>
      </c>
      <c r="F512" s="24">
        <v>15</v>
      </c>
      <c r="G512" s="24" t="s">
        <v>1449</v>
      </c>
      <c r="H512" s="24" t="s">
        <v>1450</v>
      </c>
      <c r="I512" s="24" t="s">
        <v>1451</v>
      </c>
      <c r="J512" s="44" t="str">
        <f>HYPERLINK("https://www.centcols.org/util/geo/visuGen.php?code=FR-56-0057","FR-56-0057")</f>
        <v>FR-56-0057</v>
      </c>
      <c r="K512" s="24" t="s">
        <v>1452</v>
      </c>
      <c r="L512" s="62" t="s">
        <v>5157</v>
      </c>
      <c r="M512" s="24">
        <v>0</v>
      </c>
      <c r="N512" s="24">
        <v>0</v>
      </c>
      <c r="O512" s="18"/>
      <c r="P512" s="19"/>
      <c r="Q512" s="24" t="s">
        <v>1453</v>
      </c>
      <c r="R512" s="24" t="s">
        <v>7001</v>
      </c>
      <c r="S512" s="25">
        <v>-2.286876</v>
      </c>
      <c r="T512" s="25">
        <v>47.692952</v>
      </c>
      <c r="U512" s="24">
        <v>30</v>
      </c>
      <c r="V512" s="3">
        <v>553511</v>
      </c>
      <c r="W512" s="3">
        <v>5282420</v>
      </c>
      <c r="X512" s="25">
        <v>-5.136897</v>
      </c>
      <c r="Y512" s="25">
        <v>52.992245</v>
      </c>
      <c r="Z512" s="18"/>
      <c r="AA512" s="19" t="s">
        <v>5138</v>
      </c>
      <c r="AB512" s="11">
        <v>2019</v>
      </c>
      <c r="AC512" s="60">
        <v>43525</v>
      </c>
      <c r="AD512" s="54"/>
      <c r="AE512" s="29" t="s">
        <v>1454</v>
      </c>
    </row>
    <row r="513" spans="1:31" ht="12.75">
      <c r="A513" s="18" t="s">
        <v>1455</v>
      </c>
      <c r="B513" s="62" t="s">
        <v>1446</v>
      </c>
      <c r="C513" s="62" t="s">
        <v>1456</v>
      </c>
      <c r="D513" s="62" t="s">
        <v>1457</v>
      </c>
      <c r="E513" s="24">
        <v>57</v>
      </c>
      <c r="F513" s="24">
        <v>15</v>
      </c>
      <c r="G513" s="24" t="s">
        <v>1449</v>
      </c>
      <c r="H513" s="24" t="s">
        <v>1458</v>
      </c>
      <c r="I513" s="24" t="s">
        <v>1459</v>
      </c>
      <c r="J513" s="44" t="str">
        <f>HYPERLINK("https://www.centcols.org/util/geo/visuGen.php?code=FR-56-0058","FR-56-0058")</f>
        <v>FR-56-0058</v>
      </c>
      <c r="K513" s="24" t="s">
        <v>1460</v>
      </c>
      <c r="L513" s="62" t="s">
        <v>5157</v>
      </c>
      <c r="M513" s="24">
        <v>0</v>
      </c>
      <c r="N513" s="24">
        <v>0</v>
      </c>
      <c r="O513" s="18"/>
      <c r="P513" s="19"/>
      <c r="Q513" s="24" t="s">
        <v>1461</v>
      </c>
      <c r="R513" s="24" t="s">
        <v>7002</v>
      </c>
      <c r="S513" s="25">
        <v>-2.240982813</v>
      </c>
      <c r="T513" s="25">
        <v>47.69214891</v>
      </c>
      <c r="U513" s="24">
        <v>30</v>
      </c>
      <c r="V513" s="3">
        <v>556955</v>
      </c>
      <c r="W513" s="3">
        <v>5282364</v>
      </c>
      <c r="X513" s="25">
        <v>-5.0859069</v>
      </c>
      <c r="Y513" s="25">
        <v>52.9913533</v>
      </c>
      <c r="Z513" s="18"/>
      <c r="AA513" s="19" t="s">
        <v>5138</v>
      </c>
      <c r="AB513" s="11">
        <v>2019</v>
      </c>
      <c r="AC513" s="60">
        <v>43525</v>
      </c>
      <c r="AD513" s="54"/>
      <c r="AE513" s="29" t="s">
        <v>1454</v>
      </c>
    </row>
    <row r="514" spans="1:31" ht="12.75">
      <c r="A514" s="18" t="s">
        <v>1462</v>
      </c>
      <c r="B514" s="62" t="s">
        <v>1463</v>
      </c>
      <c r="C514" s="62" t="s">
        <v>1464</v>
      </c>
      <c r="D514" s="62" t="s">
        <v>1465</v>
      </c>
      <c r="E514" s="24">
        <v>85</v>
      </c>
      <c r="F514" s="24">
        <v>15</v>
      </c>
      <c r="G514" s="24" t="s">
        <v>1449</v>
      </c>
      <c r="H514" s="24" t="s">
        <v>1466</v>
      </c>
      <c r="I514" s="24" t="s">
        <v>1467</v>
      </c>
      <c r="J514" s="44" t="str">
        <f>HYPERLINK("https://www.centcols.org/util/geo/visuGen.php?code=FR-56-0085","FR-56-0085")</f>
        <v>FR-56-0085</v>
      </c>
      <c r="K514" s="24" t="s">
        <v>1468</v>
      </c>
      <c r="L514" s="62" t="s">
        <v>5157</v>
      </c>
      <c r="M514" s="24">
        <v>0</v>
      </c>
      <c r="N514" s="24">
        <v>0</v>
      </c>
      <c r="O514" s="18"/>
      <c r="P514" s="19"/>
      <c r="Q514" s="24" t="s">
        <v>1469</v>
      </c>
      <c r="R514" s="24" t="s">
        <v>7003</v>
      </c>
      <c r="S514" s="25">
        <v>-2.260685</v>
      </c>
      <c r="T514" s="25">
        <v>47.68591</v>
      </c>
      <c r="U514" s="24">
        <v>30</v>
      </c>
      <c r="V514" s="3">
        <v>555483</v>
      </c>
      <c r="W514" s="3">
        <v>5281656</v>
      </c>
      <c r="X514" s="25">
        <v>-5.107798</v>
      </c>
      <c r="Y514" s="25">
        <v>52.984421</v>
      </c>
      <c r="Z514" s="18"/>
      <c r="AA514" s="19" t="s">
        <v>5138</v>
      </c>
      <c r="AB514" s="11">
        <v>2019</v>
      </c>
      <c r="AC514" s="60">
        <v>43525</v>
      </c>
      <c r="AD514" s="54"/>
      <c r="AE514" s="29" t="s">
        <v>1454</v>
      </c>
    </row>
    <row r="515" spans="1:31" ht="12.75">
      <c r="A515" s="18" t="s">
        <v>1470</v>
      </c>
      <c r="B515" s="62" t="s">
        <v>6046</v>
      </c>
      <c r="C515" s="62" t="s">
        <v>1471</v>
      </c>
      <c r="D515" s="62" t="s">
        <v>1472</v>
      </c>
      <c r="E515" s="24">
        <v>130</v>
      </c>
      <c r="F515" s="24">
        <v>15</v>
      </c>
      <c r="G515" s="24" t="s">
        <v>1473</v>
      </c>
      <c r="H515" s="24" t="s">
        <v>1474</v>
      </c>
      <c r="I515" s="24" t="s">
        <v>1475</v>
      </c>
      <c r="J515" s="44" t="str">
        <f>HYPERLINK("https://www.centcols.org/util/geo/visuGen.php?code=FR-56-0130","FR-56-0130")</f>
        <v>FR-56-0130</v>
      </c>
      <c r="K515" s="19" t="s">
        <v>1476</v>
      </c>
      <c r="L515" s="20" t="s">
        <v>5157</v>
      </c>
      <c r="M515" s="24">
        <v>0</v>
      </c>
      <c r="N515" s="19">
        <v>0</v>
      </c>
      <c r="O515" s="18"/>
      <c r="P515" s="19"/>
      <c r="Q515" s="24" t="s">
        <v>1477</v>
      </c>
      <c r="R515" s="24" t="s">
        <v>7015</v>
      </c>
      <c r="S515" s="25">
        <v>-2.834334</v>
      </c>
      <c r="T515" s="25">
        <v>48.116427</v>
      </c>
      <c r="U515" s="24">
        <v>30</v>
      </c>
      <c r="V515" s="3">
        <v>512330</v>
      </c>
      <c r="W515" s="3">
        <v>5329254</v>
      </c>
      <c r="X515" s="25">
        <v>-5.7451703</v>
      </c>
      <c r="Y515" s="25">
        <v>53.4627774</v>
      </c>
      <c r="Z515" s="18"/>
      <c r="AA515" s="19" t="s">
        <v>5138</v>
      </c>
      <c r="AB515" s="11">
        <v>2019</v>
      </c>
      <c r="AC515" s="60">
        <v>43525</v>
      </c>
      <c r="AD515" s="54"/>
      <c r="AE515" s="61" t="s">
        <v>1478</v>
      </c>
    </row>
    <row r="516" spans="1:31" ht="12.75">
      <c r="A516" s="4" t="s">
        <v>1479</v>
      </c>
      <c r="B516" s="1" t="s">
        <v>5128</v>
      </c>
      <c r="C516" s="1" t="s">
        <v>1480</v>
      </c>
      <c r="D516" s="1" t="s">
        <v>1481</v>
      </c>
      <c r="E516" s="2">
        <v>133</v>
      </c>
      <c r="F516" s="2">
        <v>15</v>
      </c>
      <c r="G516" s="3" t="s">
        <v>1482</v>
      </c>
      <c r="H516" s="3" t="s">
        <v>1483</v>
      </c>
      <c r="I516" s="3" t="s">
        <v>1484</v>
      </c>
      <c r="J516" s="44" t="str">
        <f>HYPERLINK("https://www.centcols.org/util/geo/visuGen.php?code=FR-56-0133","FR-56-0133")</f>
        <v>FR-56-0133</v>
      </c>
      <c r="K516" s="3" t="s">
        <v>1485</v>
      </c>
      <c r="L516" s="1" t="s">
        <v>5157</v>
      </c>
      <c r="M516" s="8">
        <v>0</v>
      </c>
      <c r="N516" s="8">
        <v>0</v>
      </c>
      <c r="O516" s="4"/>
      <c r="P516" s="3"/>
      <c r="Q516" s="3" t="s">
        <v>1486</v>
      </c>
      <c r="R516" s="3" t="s">
        <v>1487</v>
      </c>
      <c r="S516" s="25">
        <v>-2.657858681074185</v>
      </c>
      <c r="T516" s="25">
        <v>47.698067811886716</v>
      </c>
      <c r="U516" s="2">
        <v>30</v>
      </c>
      <c r="V516" s="3">
        <v>525671</v>
      </c>
      <c r="W516" s="3">
        <v>5282799</v>
      </c>
      <c r="X516" s="25">
        <v>-5.549086274766138</v>
      </c>
      <c r="Y516" s="25">
        <v>52.997927064088245</v>
      </c>
      <c r="Z516" s="6"/>
      <c r="AA516" s="7" t="s">
        <v>5138</v>
      </c>
      <c r="AB516" s="8">
        <v>2001</v>
      </c>
      <c r="AC516" s="9"/>
      <c r="AD516" s="10">
        <v>1</v>
      </c>
      <c r="AE516" s="31" t="s">
        <v>1488</v>
      </c>
    </row>
    <row r="517" spans="1:31" ht="12.75">
      <c r="A517" s="18" t="s">
        <v>1489</v>
      </c>
      <c r="B517" s="62" t="s">
        <v>5128</v>
      </c>
      <c r="C517" s="62" t="s">
        <v>1490</v>
      </c>
      <c r="D517" s="62" t="s">
        <v>1491</v>
      </c>
      <c r="E517" s="24">
        <v>226</v>
      </c>
      <c r="F517" s="24">
        <v>11</v>
      </c>
      <c r="G517" s="24" t="s">
        <v>1492</v>
      </c>
      <c r="H517" s="24" t="s">
        <v>1493</v>
      </c>
      <c r="I517" s="24" t="s">
        <v>1494</v>
      </c>
      <c r="J517" s="44" t="str">
        <f>HYPERLINK("https://www.centcols.org/util/geo/visuGen.php?code=FR-57-0237","FR-57-0237")</f>
        <v>FR-57-0237</v>
      </c>
      <c r="K517" s="19"/>
      <c r="L517" s="62" t="s">
        <v>5257</v>
      </c>
      <c r="M517" s="24">
        <v>1</v>
      </c>
      <c r="N517" s="24">
        <v>10</v>
      </c>
      <c r="O517" s="18"/>
      <c r="P517" s="19"/>
      <c r="Q517" s="24" t="s">
        <v>1495</v>
      </c>
      <c r="R517" s="24" t="s">
        <v>7016</v>
      </c>
      <c r="S517" s="25">
        <v>6.29985758</v>
      </c>
      <c r="T517" s="25">
        <v>49.3843835</v>
      </c>
      <c r="U517" s="24">
        <v>32</v>
      </c>
      <c r="V517" s="3">
        <v>304040</v>
      </c>
      <c r="W517" s="3">
        <v>5473694</v>
      </c>
      <c r="X517" s="25">
        <v>4.403546</v>
      </c>
      <c r="Y517" s="25">
        <v>54.87163</v>
      </c>
      <c r="Z517" s="18"/>
      <c r="AA517" s="19" t="s">
        <v>5138</v>
      </c>
      <c r="AB517" s="11">
        <v>2019</v>
      </c>
      <c r="AC517" s="60">
        <v>43525</v>
      </c>
      <c r="AD517" s="54"/>
      <c r="AE517" s="61" t="s">
        <v>1496</v>
      </c>
    </row>
    <row r="518" spans="1:31" ht="12.75">
      <c r="A518" s="4" t="s">
        <v>1497</v>
      </c>
      <c r="B518" s="1" t="s">
        <v>1498</v>
      </c>
      <c r="C518" s="1" t="s">
        <v>1499</v>
      </c>
      <c r="D518" s="1" t="s">
        <v>1499</v>
      </c>
      <c r="E518" s="2">
        <v>348</v>
      </c>
      <c r="F518" s="2">
        <v>12</v>
      </c>
      <c r="G518" s="3" t="s">
        <v>1500</v>
      </c>
      <c r="H518" s="3" t="s">
        <v>1501</v>
      </c>
      <c r="I518" s="3" t="s">
        <v>1502</v>
      </c>
      <c r="J518" s="44" t="str">
        <f>HYPERLINK("https://www.centcols.org/util/geo/visuGen.php?code=FR-57-0348","FR-57-0348")</f>
        <v>FR-57-0348</v>
      </c>
      <c r="K518" s="3"/>
      <c r="L518" s="1" t="s">
        <v>5257</v>
      </c>
      <c r="M518" s="8">
        <v>1</v>
      </c>
      <c r="N518" s="8">
        <v>10</v>
      </c>
      <c r="O518" s="4"/>
      <c r="P518" s="3"/>
      <c r="Q518" s="3" t="s">
        <v>1503</v>
      </c>
      <c r="R518" s="3" t="s">
        <v>1504</v>
      </c>
      <c r="S518" s="25">
        <v>7.5670201143790985</v>
      </c>
      <c r="T518" s="25">
        <v>49.0562366023209</v>
      </c>
      <c r="U518" s="2">
        <v>32</v>
      </c>
      <c r="V518" s="3">
        <v>395308</v>
      </c>
      <c r="W518" s="3">
        <v>5434696</v>
      </c>
      <c r="X518" s="25">
        <v>5.811470659918629</v>
      </c>
      <c r="Y518" s="25">
        <v>54.507005607784734</v>
      </c>
      <c r="Z518" s="6"/>
      <c r="AA518" s="7" t="s">
        <v>5138</v>
      </c>
      <c r="AB518" s="8">
        <v>2001</v>
      </c>
      <c r="AC518" s="9"/>
      <c r="AD518" s="10">
        <v>1</v>
      </c>
      <c r="AE518" s="31" t="s">
        <v>1505</v>
      </c>
    </row>
    <row r="519" spans="1:31" ht="12.75">
      <c r="A519" s="18" t="s">
        <v>1506</v>
      </c>
      <c r="B519" s="20" t="s">
        <v>1507</v>
      </c>
      <c r="C519" s="20" t="s">
        <v>1508</v>
      </c>
      <c r="D519" s="20" t="s">
        <v>1509</v>
      </c>
      <c r="E519" s="19">
        <v>359</v>
      </c>
      <c r="F519" s="14">
        <v>12</v>
      </c>
      <c r="G519" s="19" t="s">
        <v>1510</v>
      </c>
      <c r="H519" s="19" t="s">
        <v>1511</v>
      </c>
      <c r="I519" s="19" t="s">
        <v>1512</v>
      </c>
      <c r="J519" s="44" t="str">
        <f>HYPERLINK("https://www.centcols.org/util/geo/visuGen.php?code=FR-57-0359","FR-57-0359")</f>
        <v>FR-57-0359</v>
      </c>
      <c r="K519" s="19" t="s">
        <v>1513</v>
      </c>
      <c r="L519" s="20" t="s">
        <v>1514</v>
      </c>
      <c r="M519" s="19">
        <v>0</v>
      </c>
      <c r="N519" s="19">
        <v>0</v>
      </c>
      <c r="O519" s="18"/>
      <c r="P519" s="19"/>
      <c r="Q519" s="19" t="s">
        <v>1515</v>
      </c>
      <c r="R519" s="19" t="s">
        <v>1516</v>
      </c>
      <c r="S519" s="59">
        <v>7.053998</v>
      </c>
      <c r="T519" s="59">
        <v>48.610653</v>
      </c>
      <c r="U519" s="19">
        <v>32</v>
      </c>
      <c r="V519" s="3">
        <v>356562</v>
      </c>
      <c r="W519" s="3">
        <v>5386003</v>
      </c>
      <c r="X519" s="59">
        <v>5.241459</v>
      </c>
      <c r="Y519" s="59">
        <v>54.011908</v>
      </c>
      <c r="Z519" s="61"/>
      <c r="AA519" s="54" t="s">
        <v>5138</v>
      </c>
      <c r="AB519" s="54">
        <v>2015</v>
      </c>
      <c r="AC519" s="54"/>
      <c r="AD519" s="57"/>
      <c r="AE519" s="61" t="s">
        <v>1517</v>
      </c>
    </row>
    <row r="520" spans="1:31" ht="12.75">
      <c r="A520" s="4" t="s">
        <v>1518</v>
      </c>
      <c r="B520" s="1" t="s">
        <v>5262</v>
      </c>
      <c r="C520" s="1" t="s">
        <v>1519</v>
      </c>
      <c r="D520" s="1" t="s">
        <v>1519</v>
      </c>
      <c r="E520" s="2">
        <v>582</v>
      </c>
      <c r="F520" s="2">
        <v>12</v>
      </c>
      <c r="G520" s="3" t="s">
        <v>1520</v>
      </c>
      <c r="H520" s="3" t="s">
        <v>1521</v>
      </c>
      <c r="I520" s="3" t="s">
        <v>1522</v>
      </c>
      <c r="J520" s="44" t="str">
        <f>HYPERLINK("https://www.centcols.org/util/geo/visuGen.php?code=FR-57-0582","FR-57-0582")</f>
        <v>FR-57-0582</v>
      </c>
      <c r="K520" s="3" t="s">
        <v>1523</v>
      </c>
      <c r="L520" s="1" t="s">
        <v>6916</v>
      </c>
      <c r="M520" s="8">
        <v>0</v>
      </c>
      <c r="N520" s="8">
        <v>0</v>
      </c>
      <c r="O520" s="4"/>
      <c r="P520" s="3"/>
      <c r="Q520" s="3" t="s">
        <v>1524</v>
      </c>
      <c r="R520" s="3" t="s">
        <v>1525</v>
      </c>
      <c r="S520" s="25">
        <v>7.245245900174515</v>
      </c>
      <c r="T520" s="25">
        <v>48.64121611674251</v>
      </c>
      <c r="U520" s="2">
        <v>32</v>
      </c>
      <c r="V520" s="3">
        <v>370736</v>
      </c>
      <c r="W520" s="3">
        <v>5389059</v>
      </c>
      <c r="X520" s="25">
        <v>5.453951119471165</v>
      </c>
      <c r="Y520" s="25">
        <v>54.04586620410128</v>
      </c>
      <c r="Z520" s="6"/>
      <c r="AA520" s="7" t="s">
        <v>5138</v>
      </c>
      <c r="AB520" s="8">
        <v>2007</v>
      </c>
      <c r="AC520" s="9"/>
      <c r="AD520" s="10">
        <v>1</v>
      </c>
      <c r="AE520" s="31" t="s">
        <v>1526</v>
      </c>
    </row>
    <row r="521" spans="1:31" ht="12.75">
      <c r="A521" s="4" t="s">
        <v>1527</v>
      </c>
      <c r="B521" s="1" t="s">
        <v>4868</v>
      </c>
      <c r="C521" s="1" t="s">
        <v>1528</v>
      </c>
      <c r="D521" s="1" t="s">
        <v>1529</v>
      </c>
      <c r="E521" s="2">
        <v>290</v>
      </c>
      <c r="F521" s="2">
        <v>28</v>
      </c>
      <c r="G521" s="3" t="s">
        <v>1530</v>
      </c>
      <c r="H521" s="3" t="s">
        <v>1531</v>
      </c>
      <c r="I521" s="3" t="s">
        <v>1532</v>
      </c>
      <c r="J521" s="44" t="str">
        <f>HYPERLINK("https://www.centcols.org/util/geo/visuGen.php?code=FR-58-0270","FR-58-0270")</f>
        <v>FR-58-0270</v>
      </c>
      <c r="K521" s="3" t="s">
        <v>1533</v>
      </c>
      <c r="L521" s="1" t="s">
        <v>4098</v>
      </c>
      <c r="M521" s="8">
        <v>0</v>
      </c>
      <c r="N521" s="8">
        <v>0</v>
      </c>
      <c r="O521" s="4"/>
      <c r="P521" s="3"/>
      <c r="Q521" s="3" t="s">
        <v>1534</v>
      </c>
      <c r="R521" s="3" t="s">
        <v>1535</v>
      </c>
      <c r="S521" s="25">
        <v>3.7096970331601895</v>
      </c>
      <c r="T521" s="25">
        <v>47.37827106511812</v>
      </c>
      <c r="U521" s="2">
        <v>31</v>
      </c>
      <c r="V521" s="3">
        <v>553573</v>
      </c>
      <c r="W521" s="3">
        <v>5247446</v>
      </c>
      <c r="X521" s="25">
        <v>1.5256839183246738</v>
      </c>
      <c r="Y521" s="25">
        <v>52.642588538533346</v>
      </c>
      <c r="Z521" s="6"/>
      <c r="AA521" s="7" t="s">
        <v>5138</v>
      </c>
      <c r="AB521" s="8">
        <v>2007</v>
      </c>
      <c r="AC521" s="9"/>
      <c r="AD521" s="10">
        <v>1</v>
      </c>
      <c r="AE521" s="31" t="s">
        <v>1536</v>
      </c>
    </row>
    <row r="522" spans="1:31" ht="12.75">
      <c r="A522" s="4" t="s">
        <v>1537</v>
      </c>
      <c r="B522" s="1" t="s">
        <v>5923</v>
      </c>
      <c r="C522" s="1" t="s">
        <v>1538</v>
      </c>
      <c r="D522" s="1" t="s">
        <v>1539</v>
      </c>
      <c r="E522" s="2">
        <v>340</v>
      </c>
      <c r="F522" s="2">
        <v>36</v>
      </c>
      <c r="G522" s="3" t="s">
        <v>1540</v>
      </c>
      <c r="H522" s="3" t="s">
        <v>1541</v>
      </c>
      <c r="I522" s="3" t="s">
        <v>1542</v>
      </c>
      <c r="J522" s="44" t="str">
        <f>HYPERLINK("https://www.centcols.org/util/geo/visuGen.php?code=FR-58-0340","FR-58-0340")</f>
        <v>FR-58-0340</v>
      </c>
      <c r="K522" s="3" t="s">
        <v>1543</v>
      </c>
      <c r="L522" s="1" t="s">
        <v>1544</v>
      </c>
      <c r="M522" s="8">
        <v>0</v>
      </c>
      <c r="N522" s="8">
        <v>0</v>
      </c>
      <c r="O522" s="4"/>
      <c r="P522" s="3"/>
      <c r="Q522" s="3" t="s">
        <v>1545</v>
      </c>
      <c r="R522" s="3" t="s">
        <v>1546</v>
      </c>
      <c r="S522" s="25">
        <v>3.941523</v>
      </c>
      <c r="T522" s="25">
        <v>46.788678</v>
      </c>
      <c r="U522" s="2">
        <v>31</v>
      </c>
      <c r="V522" s="3">
        <v>571861</v>
      </c>
      <c r="W522" s="3">
        <v>5182111</v>
      </c>
      <c r="X522" s="25">
        <v>1.783253</v>
      </c>
      <c r="Y522" s="25">
        <v>51.987476</v>
      </c>
      <c r="Z522" s="6"/>
      <c r="AA522" s="7" t="s">
        <v>5138</v>
      </c>
      <c r="AB522" s="8" t="s">
        <v>5691</v>
      </c>
      <c r="AC522" s="9">
        <v>41988</v>
      </c>
      <c r="AD522" s="10"/>
      <c r="AE522" s="31" t="s">
        <v>1547</v>
      </c>
    </row>
    <row r="523" spans="1:31" ht="12.75">
      <c r="A523" s="18" t="s">
        <v>1548</v>
      </c>
      <c r="B523" s="62" t="s">
        <v>5981</v>
      </c>
      <c r="C523" s="62" t="s">
        <v>1549</v>
      </c>
      <c r="D523" s="62" t="s">
        <v>1550</v>
      </c>
      <c r="E523" s="24">
        <v>382</v>
      </c>
      <c r="F523" s="24">
        <v>36</v>
      </c>
      <c r="G523" s="24" t="s">
        <v>1551</v>
      </c>
      <c r="H523" s="24" t="s">
        <v>1552</v>
      </c>
      <c r="I523" s="24" t="s">
        <v>1553</v>
      </c>
      <c r="J523" s="44" t="str">
        <f>HYPERLINK("https://www.centcols.org/util/geo/visuGen.php?code=FR-58-0382","FR-58-0382")</f>
        <v>FR-58-0382</v>
      </c>
      <c r="K523" s="24" t="s">
        <v>1554</v>
      </c>
      <c r="L523" s="62" t="s">
        <v>1555</v>
      </c>
      <c r="M523" s="24">
        <v>0</v>
      </c>
      <c r="N523" s="24">
        <v>0</v>
      </c>
      <c r="O523" s="18"/>
      <c r="P523" s="19"/>
      <c r="Q523" s="19" t="s">
        <v>1556</v>
      </c>
      <c r="R523" s="19" t="s">
        <v>7004</v>
      </c>
      <c r="S523" s="25">
        <v>3.809586</v>
      </c>
      <c r="T523" s="25">
        <v>47.208319</v>
      </c>
      <c r="U523" s="24">
        <v>31</v>
      </c>
      <c r="V523" s="3">
        <v>561309</v>
      </c>
      <c r="W523" s="3">
        <v>5228632</v>
      </c>
      <c r="X523" s="25">
        <v>1.636665</v>
      </c>
      <c r="Y523" s="25">
        <v>52.45375</v>
      </c>
      <c r="Z523" s="18"/>
      <c r="AA523" s="19" t="s">
        <v>5138</v>
      </c>
      <c r="AB523" s="11">
        <v>2019</v>
      </c>
      <c r="AC523" s="60">
        <v>43525</v>
      </c>
      <c r="AD523" s="54"/>
      <c r="AE523" s="31" t="s">
        <v>4128</v>
      </c>
    </row>
    <row r="524" spans="1:31" ht="12.75">
      <c r="A524" s="18" t="s">
        <v>1557</v>
      </c>
      <c r="B524" s="62" t="s">
        <v>5534</v>
      </c>
      <c r="C524" s="62" t="s">
        <v>1558</v>
      </c>
      <c r="D524" s="62" t="s">
        <v>1559</v>
      </c>
      <c r="E524" s="24">
        <v>406</v>
      </c>
      <c r="F524" s="24">
        <v>28</v>
      </c>
      <c r="G524" s="24" t="s">
        <v>1560</v>
      </c>
      <c r="H524" s="24" t="s">
        <v>1561</v>
      </c>
      <c r="I524" s="24" t="s">
        <v>1562</v>
      </c>
      <c r="J524" s="44" t="str">
        <f>HYPERLINK("https://www.centcols.org/util/geo/visuGen.php?code=FR-58-0406","FR-58-0406")</f>
        <v>FR-58-0406</v>
      </c>
      <c r="K524" s="24" t="s">
        <v>1563</v>
      </c>
      <c r="L524" s="20" t="s">
        <v>1564</v>
      </c>
      <c r="M524" s="24">
        <v>0</v>
      </c>
      <c r="N524" s="19">
        <v>0</v>
      </c>
      <c r="O524" s="18"/>
      <c r="P524" s="19"/>
      <c r="Q524" s="24" t="s">
        <v>1565</v>
      </c>
      <c r="R524" s="24" t="s">
        <v>6994</v>
      </c>
      <c r="S524" s="25">
        <v>3.861699</v>
      </c>
      <c r="T524" s="25">
        <v>46.867946</v>
      </c>
      <c r="U524" s="24">
        <v>31</v>
      </c>
      <c r="V524" s="3">
        <v>565672</v>
      </c>
      <c r="W524" s="3">
        <v>5190850</v>
      </c>
      <c r="X524" s="25">
        <v>1.694562</v>
      </c>
      <c r="Y524" s="25">
        <v>52.075552</v>
      </c>
      <c r="Z524" s="18"/>
      <c r="AA524" s="19" t="s">
        <v>5138</v>
      </c>
      <c r="AB524" s="11">
        <v>2019</v>
      </c>
      <c r="AC524" s="60">
        <v>43525</v>
      </c>
      <c r="AD524" s="54"/>
      <c r="AE524" s="31" t="s">
        <v>4128</v>
      </c>
    </row>
    <row r="525" spans="1:31" ht="12.75">
      <c r="A525" s="18" t="s">
        <v>1566</v>
      </c>
      <c r="B525" s="62" t="s">
        <v>5128</v>
      </c>
      <c r="C525" s="62" t="s">
        <v>1567</v>
      </c>
      <c r="D525" s="62" t="s">
        <v>1568</v>
      </c>
      <c r="E525" s="24">
        <v>440</v>
      </c>
      <c r="F525" s="24">
        <v>28</v>
      </c>
      <c r="G525" s="24" t="s">
        <v>1569</v>
      </c>
      <c r="H525" s="24" t="s">
        <v>1570</v>
      </c>
      <c r="I525" s="24" t="s">
        <v>1571</v>
      </c>
      <c r="J525" s="44" t="str">
        <f>HYPERLINK("https://www.centcols.org/util/geo/visuGen.php?code=FR-58-0440","FR-58-0440")</f>
        <v>FR-58-0440</v>
      </c>
      <c r="K525" s="24" t="s">
        <v>1572</v>
      </c>
      <c r="L525" s="62" t="s">
        <v>1573</v>
      </c>
      <c r="M525" s="24">
        <v>0</v>
      </c>
      <c r="N525" s="24">
        <v>0</v>
      </c>
      <c r="O525" s="18"/>
      <c r="P525" s="19"/>
      <c r="Q525" s="24" t="s">
        <v>1574</v>
      </c>
      <c r="R525" s="24" t="s">
        <v>7005</v>
      </c>
      <c r="S525" s="25">
        <v>3.936</v>
      </c>
      <c r="T525" s="25">
        <v>47.35545</v>
      </c>
      <c r="U525" s="24">
        <v>31</v>
      </c>
      <c r="V525" s="3">
        <v>570686</v>
      </c>
      <c r="W525" s="3">
        <v>5245090</v>
      </c>
      <c r="X525" s="25">
        <v>1.777122</v>
      </c>
      <c r="Y525" s="25">
        <v>52.617231</v>
      </c>
      <c r="Z525" s="18"/>
      <c r="AA525" s="19" t="s">
        <v>5138</v>
      </c>
      <c r="AB525" s="11">
        <v>2019</v>
      </c>
      <c r="AC525" s="60">
        <v>43525</v>
      </c>
      <c r="AD525" s="54"/>
      <c r="AE525" s="31" t="s">
        <v>4128</v>
      </c>
    </row>
    <row r="526" spans="1:31" ht="12.75">
      <c r="A526" s="18" t="s">
        <v>1575</v>
      </c>
      <c r="B526" s="62" t="s">
        <v>5128</v>
      </c>
      <c r="C526" s="62" t="s">
        <v>1576</v>
      </c>
      <c r="D526" s="62" t="s">
        <v>1577</v>
      </c>
      <c r="E526" s="24">
        <v>530</v>
      </c>
      <c r="F526" s="24">
        <v>36</v>
      </c>
      <c r="G526" s="24" t="s">
        <v>1578</v>
      </c>
      <c r="H526" s="24" t="s">
        <v>1579</v>
      </c>
      <c r="I526" s="24" t="s">
        <v>1580</v>
      </c>
      <c r="J526" s="44" t="str">
        <f>HYPERLINK("https://www.centcols.org/util/geo/visuGen.php?code=FR-58-0530","FR-58-0530")</f>
        <v>FR-58-0530</v>
      </c>
      <c r="K526" s="24" t="s">
        <v>1581</v>
      </c>
      <c r="L526" s="62" t="s">
        <v>5157</v>
      </c>
      <c r="M526" s="24">
        <v>0</v>
      </c>
      <c r="N526" s="24">
        <v>0</v>
      </c>
      <c r="O526" s="18"/>
      <c r="P526" s="19"/>
      <c r="Q526" s="24" t="s">
        <v>1582</v>
      </c>
      <c r="R526" s="24" t="s">
        <v>7006</v>
      </c>
      <c r="S526" s="25">
        <v>3.946943</v>
      </c>
      <c r="T526" s="25">
        <v>47.130149</v>
      </c>
      <c r="U526" s="24">
        <v>31</v>
      </c>
      <c r="V526" s="3">
        <v>571817</v>
      </c>
      <c r="W526" s="3">
        <v>5220062</v>
      </c>
      <c r="X526" s="25">
        <v>1.789278</v>
      </c>
      <c r="Y526" s="25">
        <v>52.366892</v>
      </c>
      <c r="Z526" s="18"/>
      <c r="AA526" s="19" t="s">
        <v>5138</v>
      </c>
      <c r="AB526" s="11">
        <v>2019</v>
      </c>
      <c r="AC526" s="60">
        <v>43525</v>
      </c>
      <c r="AD526" s="54"/>
      <c r="AE526" s="31" t="s">
        <v>4128</v>
      </c>
    </row>
    <row r="527" spans="1:31" ht="12.75">
      <c r="A527" s="18" t="s">
        <v>1583</v>
      </c>
      <c r="B527" s="62" t="s">
        <v>5128</v>
      </c>
      <c r="C527" s="62" t="s">
        <v>1584</v>
      </c>
      <c r="D527" s="62" t="s">
        <v>1585</v>
      </c>
      <c r="E527" s="24">
        <v>539</v>
      </c>
      <c r="F527" s="24">
        <v>28</v>
      </c>
      <c r="G527" s="24" t="s">
        <v>1551</v>
      </c>
      <c r="H527" s="24" t="s">
        <v>1586</v>
      </c>
      <c r="I527" s="24" t="s">
        <v>1587</v>
      </c>
      <c r="J527" s="44" t="str">
        <f>HYPERLINK("https://www.centcols.org/util/geo/visuGen.php?code=FR-58-0539","FR-58-0539")</f>
        <v>FR-58-0539</v>
      </c>
      <c r="K527" s="24" t="s">
        <v>1588</v>
      </c>
      <c r="L527" s="62" t="s">
        <v>1589</v>
      </c>
      <c r="M527" s="24">
        <v>0</v>
      </c>
      <c r="N527" s="24">
        <v>0</v>
      </c>
      <c r="O527" s="18"/>
      <c r="P527" s="19"/>
      <c r="Q527" s="19" t="s">
        <v>1590</v>
      </c>
      <c r="R527" s="19" t="s">
        <v>7007</v>
      </c>
      <c r="S527" s="25">
        <v>3.892292</v>
      </c>
      <c r="T527" s="25">
        <v>47.306015</v>
      </c>
      <c r="U527" s="24">
        <v>31</v>
      </c>
      <c r="V527" s="3">
        <v>567449</v>
      </c>
      <c r="W527" s="3">
        <v>5239557</v>
      </c>
      <c r="X527" s="25">
        <v>1.728559</v>
      </c>
      <c r="Y527" s="25">
        <v>52.562302</v>
      </c>
      <c r="Z527" s="18"/>
      <c r="AA527" s="19" t="s">
        <v>5138</v>
      </c>
      <c r="AB527" s="11">
        <v>2019</v>
      </c>
      <c r="AC527" s="60">
        <v>43525</v>
      </c>
      <c r="AD527" s="54"/>
      <c r="AE527" s="31" t="s">
        <v>4128</v>
      </c>
    </row>
    <row r="528" spans="1:31" ht="12.75">
      <c r="A528" s="18" t="s">
        <v>1591</v>
      </c>
      <c r="B528" s="62" t="s">
        <v>1592</v>
      </c>
      <c r="C528" s="62" t="s">
        <v>1593</v>
      </c>
      <c r="D528" s="62" t="s">
        <v>1594</v>
      </c>
      <c r="E528" s="24">
        <v>564</v>
      </c>
      <c r="F528" s="24">
        <v>36</v>
      </c>
      <c r="G528" s="24" t="s">
        <v>1551</v>
      </c>
      <c r="H528" s="24" t="s">
        <v>1595</v>
      </c>
      <c r="I528" s="24" t="s">
        <v>1596</v>
      </c>
      <c r="J528" s="44" t="str">
        <f>HYPERLINK("https://www.centcols.org/util/geo/visuGen.php?code=FR-58-0564","FR-58-0564")</f>
        <v>FR-58-0564</v>
      </c>
      <c r="K528" s="24" t="s">
        <v>1597</v>
      </c>
      <c r="L528" s="62" t="s">
        <v>1598</v>
      </c>
      <c r="M528" s="24">
        <v>0</v>
      </c>
      <c r="N528" s="24">
        <v>0</v>
      </c>
      <c r="O528" s="18"/>
      <c r="P528" s="19"/>
      <c r="Q528" s="24" t="s">
        <v>1599</v>
      </c>
      <c r="R528" s="24" t="s">
        <v>7008</v>
      </c>
      <c r="S528" s="25">
        <v>3.94452</v>
      </c>
      <c r="T528" s="25">
        <v>47.18497</v>
      </c>
      <c r="U528" s="24">
        <v>31</v>
      </c>
      <c r="V528" s="3">
        <v>571559</v>
      </c>
      <c r="W528" s="3">
        <v>5226152</v>
      </c>
      <c r="X528" s="25">
        <v>1.786586</v>
      </c>
      <c r="Y528" s="25">
        <v>52.427805</v>
      </c>
      <c r="Z528" s="18"/>
      <c r="AA528" s="19" t="s">
        <v>5138</v>
      </c>
      <c r="AB528" s="11">
        <v>2019</v>
      </c>
      <c r="AC528" s="60">
        <v>43525</v>
      </c>
      <c r="AD528" s="54"/>
      <c r="AE528" s="31" t="s">
        <v>4128</v>
      </c>
    </row>
    <row r="529" spans="1:31" ht="12.75">
      <c r="A529" s="18" t="s">
        <v>1600</v>
      </c>
      <c r="B529" s="62" t="s">
        <v>1601</v>
      </c>
      <c r="C529" s="62" t="s">
        <v>1602</v>
      </c>
      <c r="D529" s="62" t="s">
        <v>1603</v>
      </c>
      <c r="E529" s="24">
        <v>578</v>
      </c>
      <c r="F529" s="24">
        <v>36</v>
      </c>
      <c r="G529" s="24" t="s">
        <v>1551</v>
      </c>
      <c r="H529" s="24" t="s">
        <v>1604</v>
      </c>
      <c r="I529" s="24" t="s">
        <v>1605</v>
      </c>
      <c r="J529" s="44" t="str">
        <f>HYPERLINK("https://www.centcols.org/util/geo/visuGen.php?code=FR-58-0578","FR-58-0578")</f>
        <v>FR-58-0578</v>
      </c>
      <c r="K529" s="24" t="s">
        <v>1606</v>
      </c>
      <c r="L529" s="62" t="s">
        <v>5792</v>
      </c>
      <c r="M529" s="24">
        <v>0</v>
      </c>
      <c r="N529" s="24">
        <v>0</v>
      </c>
      <c r="O529" s="18"/>
      <c r="P529" s="19"/>
      <c r="Q529" s="24" t="s">
        <v>1607</v>
      </c>
      <c r="R529" s="24" t="s">
        <v>7009</v>
      </c>
      <c r="S529" s="25">
        <v>3.950219</v>
      </c>
      <c r="T529" s="25">
        <v>47.302041</v>
      </c>
      <c r="U529" s="24">
        <v>31</v>
      </c>
      <c r="V529" s="3">
        <v>571833</v>
      </c>
      <c r="W529" s="3">
        <v>5239168</v>
      </c>
      <c r="X529" s="25">
        <v>1.792919</v>
      </c>
      <c r="Y529" s="25">
        <v>52.557887</v>
      </c>
      <c r="Z529" s="18"/>
      <c r="AA529" s="19" t="s">
        <v>5138</v>
      </c>
      <c r="AB529" s="11">
        <v>2019</v>
      </c>
      <c r="AC529" s="60">
        <v>43525</v>
      </c>
      <c r="AD529" s="54"/>
      <c r="AE529" s="31" t="s">
        <v>4128</v>
      </c>
    </row>
    <row r="530" spans="1:31" ht="12.75">
      <c r="A530" s="18" t="s">
        <v>1608</v>
      </c>
      <c r="B530" s="62" t="s">
        <v>5128</v>
      </c>
      <c r="C530" s="62" t="s">
        <v>1609</v>
      </c>
      <c r="D530" s="62" t="s">
        <v>1610</v>
      </c>
      <c r="E530" s="24">
        <v>584</v>
      </c>
      <c r="F530" s="24">
        <v>36</v>
      </c>
      <c r="G530" s="24" t="s">
        <v>1551</v>
      </c>
      <c r="H530" s="24" t="s">
        <v>1611</v>
      </c>
      <c r="I530" s="24" t="s">
        <v>1612</v>
      </c>
      <c r="J530" s="44" t="str">
        <f>HYPERLINK("https://www.centcols.org/util/geo/visuGen.php?code=FR-58-0584","FR-58-0584")</f>
        <v>FR-58-0584</v>
      </c>
      <c r="K530" s="24" t="s">
        <v>1613</v>
      </c>
      <c r="L530" s="62" t="s">
        <v>1614</v>
      </c>
      <c r="M530" s="24">
        <v>0</v>
      </c>
      <c r="N530" s="24">
        <v>0</v>
      </c>
      <c r="O530" s="18"/>
      <c r="P530" s="19"/>
      <c r="Q530" s="24" t="s">
        <v>1336</v>
      </c>
      <c r="R530" s="24" t="s">
        <v>7010</v>
      </c>
      <c r="S530" s="25">
        <v>3.881573</v>
      </c>
      <c r="T530" s="25">
        <v>47.297431</v>
      </c>
      <c r="U530" s="24">
        <v>31</v>
      </c>
      <c r="V530" s="3">
        <v>566649</v>
      </c>
      <c r="W530" s="3">
        <v>5238594</v>
      </c>
      <c r="X530" s="25">
        <v>1.716649</v>
      </c>
      <c r="Y530" s="25">
        <v>52.552764</v>
      </c>
      <c r="Z530" s="18"/>
      <c r="AA530" s="19" t="s">
        <v>5138</v>
      </c>
      <c r="AB530" s="11">
        <v>2019</v>
      </c>
      <c r="AC530" s="60">
        <v>43525</v>
      </c>
      <c r="AD530" s="54"/>
      <c r="AE530" s="31" t="s">
        <v>4128</v>
      </c>
    </row>
    <row r="531" spans="1:31" ht="12.75">
      <c r="A531" s="18" t="s">
        <v>1615</v>
      </c>
      <c r="B531" s="62" t="s">
        <v>5815</v>
      </c>
      <c r="C531" s="62" t="s">
        <v>1616</v>
      </c>
      <c r="D531" s="62" t="s">
        <v>1617</v>
      </c>
      <c r="E531" s="24">
        <v>643</v>
      </c>
      <c r="F531" s="24">
        <v>28</v>
      </c>
      <c r="G531" s="24" t="s">
        <v>1618</v>
      </c>
      <c r="H531" s="24" t="s">
        <v>1619</v>
      </c>
      <c r="I531" s="24" t="s">
        <v>1620</v>
      </c>
      <c r="J531" s="44" t="str">
        <f>HYPERLINK("https://www.centcols.org/util/geo/visuGen.php?code=FR-58-0643","FR-58-0643")</f>
        <v>FR-58-0643</v>
      </c>
      <c r="K531" s="24" t="s">
        <v>1621</v>
      </c>
      <c r="L531" s="62" t="s">
        <v>1622</v>
      </c>
      <c r="M531" s="24">
        <v>0</v>
      </c>
      <c r="N531" s="24">
        <v>0</v>
      </c>
      <c r="O531" s="18"/>
      <c r="P531" s="19"/>
      <c r="Q531" s="24" t="s">
        <v>1623</v>
      </c>
      <c r="R531" s="24" t="s">
        <v>7011</v>
      </c>
      <c r="S531" s="25">
        <v>4.07189</v>
      </c>
      <c r="T531" s="25">
        <v>47.2602</v>
      </c>
      <c r="U531" s="24">
        <v>31</v>
      </c>
      <c r="V531" s="3">
        <v>581094</v>
      </c>
      <c r="W531" s="3">
        <v>5234637</v>
      </c>
      <c r="X531" s="25">
        <v>1.928103</v>
      </c>
      <c r="Y531" s="25">
        <v>52.511395</v>
      </c>
      <c r="Z531" s="18"/>
      <c r="AA531" s="19" t="s">
        <v>5138</v>
      </c>
      <c r="AB531" s="11">
        <v>2019</v>
      </c>
      <c r="AC531" s="60">
        <v>43525</v>
      </c>
      <c r="AD531" s="54"/>
      <c r="AE531" s="31" t="s">
        <v>4128</v>
      </c>
    </row>
    <row r="532" spans="1:31" ht="12.75">
      <c r="A532" s="18" t="s">
        <v>1624</v>
      </c>
      <c r="B532" s="62" t="s">
        <v>1625</v>
      </c>
      <c r="C532" s="62" t="s">
        <v>1626</v>
      </c>
      <c r="D532" s="62" t="s">
        <v>1627</v>
      </c>
      <c r="E532" s="24">
        <v>714</v>
      </c>
      <c r="F532" s="24">
        <v>36</v>
      </c>
      <c r="G532" s="24" t="s">
        <v>1628</v>
      </c>
      <c r="H532" s="24" t="s">
        <v>1629</v>
      </c>
      <c r="I532" s="24" t="s">
        <v>1630</v>
      </c>
      <c r="J532" s="44" t="str">
        <f>HYPERLINK("https://www.centcols.org/util/geo/visuGen.php?code=FR-58-0714","FR-58-0714")</f>
        <v>FR-58-0714</v>
      </c>
      <c r="K532" s="24" t="s">
        <v>1631</v>
      </c>
      <c r="L532" s="62" t="s">
        <v>1632</v>
      </c>
      <c r="M532" s="24">
        <v>0</v>
      </c>
      <c r="N532" s="24">
        <v>0</v>
      </c>
      <c r="O532" s="18"/>
      <c r="P532" s="19"/>
      <c r="Q532" s="24" t="s">
        <v>1633</v>
      </c>
      <c r="R532" s="24" t="s">
        <v>6995</v>
      </c>
      <c r="S532" s="25">
        <v>4.02348</v>
      </c>
      <c r="T532" s="25">
        <v>46.952958</v>
      </c>
      <c r="U532" s="24">
        <v>31</v>
      </c>
      <c r="V532" s="3">
        <v>577879</v>
      </c>
      <c r="W532" s="3">
        <v>5200445</v>
      </c>
      <c r="X532" s="25">
        <v>1.874313</v>
      </c>
      <c r="Y532" s="25">
        <v>52.17001</v>
      </c>
      <c r="Z532" s="18"/>
      <c r="AA532" s="19" t="s">
        <v>5138</v>
      </c>
      <c r="AB532" s="11">
        <v>2019</v>
      </c>
      <c r="AC532" s="60">
        <v>43525</v>
      </c>
      <c r="AD532" s="54"/>
      <c r="AE532" s="31" t="s">
        <v>4128</v>
      </c>
    </row>
    <row r="533" spans="1:31" ht="12.75">
      <c r="A533" s="18" t="s">
        <v>1634</v>
      </c>
      <c r="B533" s="20" t="s">
        <v>5128</v>
      </c>
      <c r="C533" s="20" t="s">
        <v>1635</v>
      </c>
      <c r="D533" s="20" t="s">
        <v>1636</v>
      </c>
      <c r="E533" s="19">
        <v>721</v>
      </c>
      <c r="F533" s="14">
        <v>36</v>
      </c>
      <c r="G533" s="19" t="s">
        <v>1628</v>
      </c>
      <c r="H533" s="19" t="s">
        <v>1637</v>
      </c>
      <c r="I533" s="19" t="s">
        <v>1638</v>
      </c>
      <c r="J533" s="44" t="str">
        <f>HYPERLINK("https://www.centcols.org/util/geo/visuGen.php?code=FR-58-0721","FR-58-0721")</f>
        <v>FR-58-0721</v>
      </c>
      <c r="K533" s="19" t="s">
        <v>1639</v>
      </c>
      <c r="L533" s="20" t="s">
        <v>1640</v>
      </c>
      <c r="M533" s="19">
        <v>0</v>
      </c>
      <c r="N533" s="19">
        <v>0</v>
      </c>
      <c r="O533" s="18"/>
      <c r="P533" s="19"/>
      <c r="Q533" s="19" t="s">
        <v>1641</v>
      </c>
      <c r="R533" s="19" t="s">
        <v>1642</v>
      </c>
      <c r="S533" s="59">
        <v>3.981979174</v>
      </c>
      <c r="T533" s="59">
        <v>46.96272429</v>
      </c>
      <c r="U533" s="19">
        <v>31</v>
      </c>
      <c r="V533" s="3">
        <v>574707</v>
      </c>
      <c r="W533" s="3">
        <v>5201490</v>
      </c>
      <c r="X533" s="59">
        <v>1.828203</v>
      </c>
      <c r="Y533" s="59">
        <v>52.180862</v>
      </c>
      <c r="Z533" s="61"/>
      <c r="AA533" s="7" t="s">
        <v>5138</v>
      </c>
      <c r="AB533" s="54">
        <v>2018</v>
      </c>
      <c r="AC533" s="57"/>
      <c r="AD533" s="54"/>
      <c r="AE533" s="31" t="s">
        <v>4128</v>
      </c>
    </row>
    <row r="534" spans="1:31" ht="12.75">
      <c r="A534" s="18" t="s">
        <v>1643</v>
      </c>
      <c r="B534" s="20" t="s">
        <v>5815</v>
      </c>
      <c r="C534" s="20" t="s">
        <v>1644</v>
      </c>
      <c r="D534" s="20" t="s">
        <v>1645</v>
      </c>
      <c r="E534" s="19">
        <v>769</v>
      </c>
      <c r="F534" s="14">
        <v>36</v>
      </c>
      <c r="G534" s="19" t="s">
        <v>1628</v>
      </c>
      <c r="H534" s="19" t="s">
        <v>1646</v>
      </c>
      <c r="I534" s="19" t="s">
        <v>1647</v>
      </c>
      <c r="J534" s="44" t="str">
        <f>HYPERLINK("https://www.centcols.org/util/geo/visuGen.php?code=FR-58-0769","FR-58-0769")</f>
        <v>FR-58-0769</v>
      </c>
      <c r="K534" s="19" t="s">
        <v>1648</v>
      </c>
      <c r="L534" s="20" t="s">
        <v>6071</v>
      </c>
      <c r="M534" s="19">
        <v>0</v>
      </c>
      <c r="N534" s="19">
        <v>0</v>
      </c>
      <c r="O534" s="18"/>
      <c r="P534" s="19"/>
      <c r="Q534" s="19" t="s">
        <v>1649</v>
      </c>
      <c r="R534" s="19" t="s">
        <v>1650</v>
      </c>
      <c r="S534" s="59">
        <v>3.96829</v>
      </c>
      <c r="T534" s="59">
        <v>46.969696</v>
      </c>
      <c r="U534" s="19">
        <v>31</v>
      </c>
      <c r="V534" s="3">
        <v>573656</v>
      </c>
      <c r="W534" s="3">
        <v>5202252</v>
      </c>
      <c r="X534" s="59">
        <v>1.812993</v>
      </c>
      <c r="Y534" s="59">
        <v>52.188608</v>
      </c>
      <c r="Z534" s="61"/>
      <c r="AA534" s="7" t="s">
        <v>5138</v>
      </c>
      <c r="AB534" s="54">
        <v>2018</v>
      </c>
      <c r="AC534" s="57"/>
      <c r="AD534" s="54"/>
      <c r="AE534" s="31" t="s">
        <v>4128</v>
      </c>
    </row>
    <row r="535" spans="1:31" ht="12.75">
      <c r="A535" s="32" t="s">
        <v>1651</v>
      </c>
      <c r="B535" s="20" t="s">
        <v>1652</v>
      </c>
      <c r="C535" s="20" t="s">
        <v>1653</v>
      </c>
      <c r="D535" s="13" t="s">
        <v>1654</v>
      </c>
      <c r="E535" s="14">
        <v>84</v>
      </c>
      <c r="F535" s="14">
        <v>4</v>
      </c>
      <c r="G535" s="15" t="s">
        <v>1655</v>
      </c>
      <c r="H535" s="15" t="s">
        <v>1656</v>
      </c>
      <c r="I535" s="15" t="s">
        <v>1657</v>
      </c>
      <c r="J535" s="44" t="str">
        <f>HYPERLINK("https://www.centcols.org/util/geo/visuGen.php?code=FR-59-0084","FR-59-0084")</f>
        <v>FR-59-0084</v>
      </c>
      <c r="K535" s="15"/>
      <c r="L535" s="13" t="s">
        <v>5138</v>
      </c>
      <c r="M535" s="14">
        <v>1</v>
      </c>
      <c r="N535" s="14">
        <v>10</v>
      </c>
      <c r="O535" s="16"/>
      <c r="P535" s="15"/>
      <c r="Q535" s="15" t="s">
        <v>1658</v>
      </c>
      <c r="R535" s="15" t="s">
        <v>1659</v>
      </c>
      <c r="S535" s="59">
        <v>3.426253</v>
      </c>
      <c r="T535" s="59">
        <v>50.211672</v>
      </c>
      <c r="U535" s="17">
        <v>31</v>
      </c>
      <c r="V535" s="3">
        <v>530414</v>
      </c>
      <c r="W535" s="3">
        <v>5562253</v>
      </c>
      <c r="X535" s="59">
        <v>1.210764522846434</v>
      </c>
      <c r="Y535" s="59">
        <v>55.79081289709581</v>
      </c>
      <c r="Z535" s="18"/>
      <c r="AA535" s="19" t="s">
        <v>5138</v>
      </c>
      <c r="AB535" s="19">
        <v>2018</v>
      </c>
      <c r="AC535" s="12">
        <v>43250</v>
      </c>
      <c r="AD535" s="19"/>
      <c r="AE535" s="23" t="s">
        <v>1660</v>
      </c>
    </row>
    <row r="536" spans="1:31" ht="12.75">
      <c r="A536" s="13" t="s">
        <v>1661</v>
      </c>
      <c r="B536" s="1" t="s">
        <v>1662</v>
      </c>
      <c r="C536" s="1" t="s">
        <v>5328</v>
      </c>
      <c r="D536" s="1" t="s">
        <v>1663</v>
      </c>
      <c r="E536" s="2">
        <v>90</v>
      </c>
      <c r="F536" s="2">
        <v>4</v>
      </c>
      <c r="G536" s="3" t="s">
        <v>1655</v>
      </c>
      <c r="H536" s="3" t="s">
        <v>1664</v>
      </c>
      <c r="I536" s="3" t="s">
        <v>1665</v>
      </c>
      <c r="J536" s="44" t="str">
        <f>HYPERLINK("https://www.centcols.org/util/geo/visuGen.php?code=FR-59-0090","FR-59-0090")</f>
        <v>FR-59-0090</v>
      </c>
      <c r="K536" s="3"/>
      <c r="L536" s="1"/>
      <c r="M536" s="2">
        <v>99</v>
      </c>
      <c r="N536" s="2">
        <v>20</v>
      </c>
      <c r="O536" s="5"/>
      <c r="P536" s="3"/>
      <c r="Q536" s="3" t="s">
        <v>1666</v>
      </c>
      <c r="R536" s="3" t="s">
        <v>1667</v>
      </c>
      <c r="S536" s="59">
        <v>3.517669</v>
      </c>
      <c r="T536" s="59">
        <v>50.213997</v>
      </c>
      <c r="U536" s="22">
        <v>31</v>
      </c>
      <c r="V536" s="3">
        <v>536935</v>
      </c>
      <c r="W536" s="3">
        <v>5562553</v>
      </c>
      <c r="X536" s="25">
        <v>1.3123322634128647</v>
      </c>
      <c r="Y536" s="25">
        <v>55.793396613002656</v>
      </c>
      <c r="Z536" s="18"/>
      <c r="AA536" s="19" t="s">
        <v>5138</v>
      </c>
      <c r="AB536" s="19">
        <v>2018</v>
      </c>
      <c r="AC536" s="12">
        <v>43250</v>
      </c>
      <c r="AD536" s="19"/>
      <c r="AE536" s="23" t="s">
        <v>5287</v>
      </c>
    </row>
    <row r="537" spans="1:31" ht="12.75">
      <c r="A537" s="32" t="s">
        <v>1668</v>
      </c>
      <c r="B537" s="20" t="s">
        <v>1669</v>
      </c>
      <c r="C537" s="20" t="s">
        <v>1670</v>
      </c>
      <c r="D537" s="13" t="s">
        <v>1671</v>
      </c>
      <c r="E537" s="14">
        <v>113</v>
      </c>
      <c r="F537" s="14">
        <v>4</v>
      </c>
      <c r="G537" s="15" t="s">
        <v>1672</v>
      </c>
      <c r="H537" s="15" t="s">
        <v>1673</v>
      </c>
      <c r="I537" s="15" t="s">
        <v>1674</v>
      </c>
      <c r="J537" s="44" t="str">
        <f>HYPERLINK("https://www.centcols.org/util/geo/visuGen.php?code=FR-59-0113","FR-59-0113")</f>
        <v>FR-59-0113</v>
      </c>
      <c r="K537" s="15"/>
      <c r="L537" s="13"/>
      <c r="M537" s="14">
        <v>99</v>
      </c>
      <c r="N537" s="14">
        <v>20</v>
      </c>
      <c r="O537" s="16"/>
      <c r="P537" s="15"/>
      <c r="Q537" s="15" t="s">
        <v>1675</v>
      </c>
      <c r="R537" s="15" t="s">
        <v>1676</v>
      </c>
      <c r="S537" s="59">
        <v>3.658096</v>
      </c>
      <c r="T537" s="59">
        <v>50.289448</v>
      </c>
      <c r="U537" s="17">
        <v>31</v>
      </c>
      <c r="V537" s="3">
        <v>546880</v>
      </c>
      <c r="W537" s="3">
        <v>5571021</v>
      </c>
      <c r="X537" s="59">
        <v>1.468352678847582</v>
      </c>
      <c r="Y537" s="59">
        <v>55.87722933399619</v>
      </c>
      <c r="Z537" s="18"/>
      <c r="AA537" s="19" t="s">
        <v>5138</v>
      </c>
      <c r="AB537" s="19">
        <v>2018</v>
      </c>
      <c r="AC537" s="12">
        <v>43250</v>
      </c>
      <c r="AD537" s="19"/>
      <c r="AE537" s="23" t="s">
        <v>1677</v>
      </c>
    </row>
    <row r="538" spans="1:31" ht="12.75">
      <c r="A538" s="104" t="s">
        <v>1678</v>
      </c>
      <c r="B538" s="1" t="s">
        <v>1679</v>
      </c>
      <c r="C538" s="1" t="s">
        <v>1680</v>
      </c>
      <c r="D538" s="1" t="s">
        <v>1681</v>
      </c>
      <c r="E538" s="2">
        <v>114</v>
      </c>
      <c r="F538" s="2">
        <v>4</v>
      </c>
      <c r="G538" s="3" t="s">
        <v>1672</v>
      </c>
      <c r="H538" s="3" t="s">
        <v>1682</v>
      </c>
      <c r="I538" s="3" t="s">
        <v>1683</v>
      </c>
      <c r="J538" s="44" t="str">
        <f>HYPERLINK("https://www.centcols.org/util/geo/visuGen.php?code=FR-59-0114","FR-59-0114")</f>
        <v>FR-59-0114</v>
      </c>
      <c r="K538" s="3" t="s">
        <v>1684</v>
      </c>
      <c r="L538" s="1" t="s">
        <v>4497</v>
      </c>
      <c r="M538" s="2">
        <v>0</v>
      </c>
      <c r="N538" s="2">
        <v>0</v>
      </c>
      <c r="O538" s="5"/>
      <c r="P538" s="3" t="s">
        <v>5482</v>
      </c>
      <c r="Q538" s="3" t="s">
        <v>1685</v>
      </c>
      <c r="R538" s="3" t="s">
        <v>1686</v>
      </c>
      <c r="S538" s="59">
        <v>3.746332</v>
      </c>
      <c r="T538" s="59">
        <v>50.349513</v>
      </c>
      <c r="U538" s="22">
        <v>31</v>
      </c>
      <c r="V538" s="3">
        <v>553098</v>
      </c>
      <c r="W538" s="3">
        <v>5577759</v>
      </c>
      <c r="X538" s="25">
        <v>1.566387066300118</v>
      </c>
      <c r="Y538" s="25">
        <v>55.943967356035515</v>
      </c>
      <c r="Z538" s="18"/>
      <c r="AA538" s="19" t="s">
        <v>5138</v>
      </c>
      <c r="AB538" s="19">
        <v>2018</v>
      </c>
      <c r="AC538" s="12">
        <v>43250</v>
      </c>
      <c r="AD538" s="19"/>
      <c r="AE538" s="23" t="s">
        <v>1687</v>
      </c>
    </row>
    <row r="539" spans="1:31" ht="22.5">
      <c r="A539" s="104" t="s">
        <v>1688</v>
      </c>
      <c r="B539" s="1" t="s">
        <v>1421</v>
      </c>
      <c r="C539" s="1" t="s">
        <v>1689</v>
      </c>
      <c r="D539" s="1" t="s">
        <v>1690</v>
      </c>
      <c r="E539" s="2">
        <v>116</v>
      </c>
      <c r="F539" s="2">
        <v>4</v>
      </c>
      <c r="G539" s="3" t="s">
        <v>1672</v>
      </c>
      <c r="H539" s="3" t="s">
        <v>1691</v>
      </c>
      <c r="I539" s="3" t="s">
        <v>1692</v>
      </c>
      <c r="J539" s="44" t="str">
        <f>HYPERLINK("https://www.centcols.org/util/geo/visuGen.php?code=FR-59-0116","FR-59-0116")</f>
        <v>FR-59-0116</v>
      </c>
      <c r="K539" s="3" t="s">
        <v>1693</v>
      </c>
      <c r="L539" s="1" t="s">
        <v>5157</v>
      </c>
      <c r="M539" s="2">
        <v>0</v>
      </c>
      <c r="N539" s="2">
        <v>0</v>
      </c>
      <c r="O539" s="5"/>
      <c r="P539" s="3"/>
      <c r="Q539" s="3" t="s">
        <v>1694</v>
      </c>
      <c r="R539" s="3" t="s">
        <v>1695</v>
      </c>
      <c r="S539" s="59">
        <v>3.61956</v>
      </c>
      <c r="T539" s="59">
        <v>50.259486</v>
      </c>
      <c r="U539" s="22">
        <v>31</v>
      </c>
      <c r="V539" s="3">
        <v>544162</v>
      </c>
      <c r="W539" s="3">
        <v>5567666</v>
      </c>
      <c r="X539" s="25">
        <v>1.4255374434511623</v>
      </c>
      <c r="Y539" s="25">
        <v>55.843938694585866</v>
      </c>
      <c r="Z539" s="18"/>
      <c r="AA539" s="19" t="s">
        <v>5138</v>
      </c>
      <c r="AB539" s="19">
        <v>2018</v>
      </c>
      <c r="AC539" s="12">
        <v>43250</v>
      </c>
      <c r="AD539" s="19"/>
      <c r="AE539" s="23" t="s">
        <v>1696</v>
      </c>
    </row>
    <row r="540" spans="1:31" ht="12.75">
      <c r="A540" s="104" t="s">
        <v>1697</v>
      </c>
      <c r="B540" s="1" t="s">
        <v>5574</v>
      </c>
      <c r="C540" s="1" t="s">
        <v>1698</v>
      </c>
      <c r="D540" s="1" t="s">
        <v>1699</v>
      </c>
      <c r="E540" s="2">
        <v>122</v>
      </c>
      <c r="F540" s="2">
        <v>4</v>
      </c>
      <c r="G540" s="3" t="s">
        <v>1672</v>
      </c>
      <c r="H540" s="3" t="s">
        <v>1700</v>
      </c>
      <c r="I540" s="3" t="s">
        <v>1701</v>
      </c>
      <c r="J540" s="44" t="str">
        <f>HYPERLINK("https://www.centcols.org/util/geo/visuGen.php?code=FR-59-0122","FR-59-0122")</f>
        <v>FR-59-0122</v>
      </c>
      <c r="K540" s="3" t="s">
        <v>1702</v>
      </c>
      <c r="L540" s="1" t="s">
        <v>5176</v>
      </c>
      <c r="M540" s="2">
        <v>99</v>
      </c>
      <c r="N540" s="2">
        <v>15</v>
      </c>
      <c r="O540" s="5"/>
      <c r="P540" s="3"/>
      <c r="Q540" s="3" t="s">
        <v>1703</v>
      </c>
      <c r="R540" s="3" t="s">
        <v>1704</v>
      </c>
      <c r="S540" s="59">
        <v>3.619701</v>
      </c>
      <c r="T540" s="59">
        <v>50.242099</v>
      </c>
      <c r="U540" s="22">
        <v>31</v>
      </c>
      <c r="V540" s="3">
        <v>544189</v>
      </c>
      <c r="W540" s="3">
        <v>5565733</v>
      </c>
      <c r="X540" s="25">
        <v>1.4256941530676022</v>
      </c>
      <c r="Y540" s="25">
        <v>55.82462006972435</v>
      </c>
      <c r="Z540" s="18"/>
      <c r="AA540" s="19" t="s">
        <v>5138</v>
      </c>
      <c r="AB540" s="19">
        <v>2018</v>
      </c>
      <c r="AC540" s="12">
        <v>43250</v>
      </c>
      <c r="AD540" s="19"/>
      <c r="AE540" s="23" t="s">
        <v>5149</v>
      </c>
    </row>
    <row r="541" spans="1:31" ht="12.75">
      <c r="A541" s="104" t="s">
        <v>1705</v>
      </c>
      <c r="B541" s="20" t="s">
        <v>5457</v>
      </c>
      <c r="C541" s="20" t="s">
        <v>1706</v>
      </c>
      <c r="D541" s="1" t="s">
        <v>1707</v>
      </c>
      <c r="E541" s="2">
        <v>142</v>
      </c>
      <c r="F541" s="2">
        <v>5</v>
      </c>
      <c r="G541" s="3" t="s">
        <v>1708</v>
      </c>
      <c r="H541" s="3" t="s">
        <v>1709</v>
      </c>
      <c r="I541" s="3" t="s">
        <v>1710</v>
      </c>
      <c r="J541" s="44" t="str">
        <f>HYPERLINK("https://www.centcols.org/util/geo/visuGen.php?code=FR-59-0142","FR-59-0142")</f>
        <v>FR-59-0142</v>
      </c>
      <c r="K541" s="3"/>
      <c r="L541" s="1"/>
      <c r="M541" s="2">
        <v>99</v>
      </c>
      <c r="N541" s="2">
        <v>20</v>
      </c>
      <c r="O541" s="5"/>
      <c r="P541" s="3"/>
      <c r="Q541" s="3" t="s">
        <v>1711</v>
      </c>
      <c r="R541" s="3" t="s">
        <v>1712</v>
      </c>
      <c r="S541" s="59">
        <v>3.800901</v>
      </c>
      <c r="T541" s="59">
        <v>50.217642</v>
      </c>
      <c r="U541" s="22">
        <v>31</v>
      </c>
      <c r="V541" s="3">
        <v>557138</v>
      </c>
      <c r="W541" s="3">
        <v>5563136</v>
      </c>
      <c r="X541" s="25">
        <v>1.627016741504866</v>
      </c>
      <c r="Y541" s="25">
        <v>55.797446530081494</v>
      </c>
      <c r="Z541" s="18"/>
      <c r="AA541" s="19" t="s">
        <v>5138</v>
      </c>
      <c r="AB541" s="19">
        <v>2018</v>
      </c>
      <c r="AC541" s="12">
        <v>43250</v>
      </c>
      <c r="AD541" s="19"/>
      <c r="AE541" s="23" t="s">
        <v>1713</v>
      </c>
    </row>
    <row r="542" spans="1:31" ht="12.75">
      <c r="A542" s="104" t="s">
        <v>1714</v>
      </c>
      <c r="B542" s="20" t="s">
        <v>1715</v>
      </c>
      <c r="C542" s="20" t="s">
        <v>1716</v>
      </c>
      <c r="D542" s="1" t="s">
        <v>1717</v>
      </c>
      <c r="E542" s="2">
        <v>148</v>
      </c>
      <c r="F542" s="2">
        <v>4</v>
      </c>
      <c r="G542" s="3" t="s">
        <v>1718</v>
      </c>
      <c r="H542" s="3" t="s">
        <v>1719</v>
      </c>
      <c r="I542" s="3" t="s">
        <v>1720</v>
      </c>
      <c r="J542" s="44" t="str">
        <f>HYPERLINK("https://www.centcols.org/util/geo/visuGen.php?code=FR-59-0148","FR-59-0148")</f>
        <v>FR-59-0148</v>
      </c>
      <c r="K542" s="3"/>
      <c r="L542" s="1"/>
      <c r="M542" s="2">
        <v>99</v>
      </c>
      <c r="N542" s="2">
        <v>20</v>
      </c>
      <c r="O542" s="5"/>
      <c r="P542" s="3"/>
      <c r="Q542" s="3" t="s">
        <v>1721</v>
      </c>
      <c r="R542" s="3" t="s">
        <v>1722</v>
      </c>
      <c r="S542" s="59">
        <v>3.772089</v>
      </c>
      <c r="T542" s="59">
        <v>50.184221</v>
      </c>
      <c r="U542" s="22">
        <v>31</v>
      </c>
      <c r="V542" s="3">
        <v>555121</v>
      </c>
      <c r="W542" s="3">
        <v>5559399</v>
      </c>
      <c r="X542" s="25">
        <v>1.5950054130757794</v>
      </c>
      <c r="Y542" s="25">
        <v>55.76031259440217</v>
      </c>
      <c r="Z542" s="18"/>
      <c r="AA542" s="19" t="s">
        <v>5138</v>
      </c>
      <c r="AB542" s="19">
        <v>2018</v>
      </c>
      <c r="AC542" s="12">
        <v>43250</v>
      </c>
      <c r="AD542" s="19"/>
      <c r="AE542" s="23" t="s">
        <v>1723</v>
      </c>
    </row>
    <row r="543" spans="1:31" ht="12.75">
      <c r="A543" s="32" t="s">
        <v>1724</v>
      </c>
      <c r="B543" s="20" t="s">
        <v>5437</v>
      </c>
      <c r="C543" s="20" t="s">
        <v>1725</v>
      </c>
      <c r="D543" s="13" t="s">
        <v>1726</v>
      </c>
      <c r="E543" s="14">
        <v>149</v>
      </c>
      <c r="F543" s="14">
        <v>4</v>
      </c>
      <c r="G543" s="15" t="s">
        <v>1672</v>
      </c>
      <c r="H543" s="15" t="s">
        <v>1727</v>
      </c>
      <c r="I543" s="15" t="s">
        <v>1728</v>
      </c>
      <c r="J543" s="44" t="str">
        <f>HYPERLINK("https://www.centcols.org/util/geo/visuGen.php?code=FR-59-0149","FR-59-0149")</f>
        <v>FR-59-0149</v>
      </c>
      <c r="K543" s="15"/>
      <c r="L543" s="13"/>
      <c r="M543" s="14">
        <v>99</v>
      </c>
      <c r="N543" s="14">
        <v>20</v>
      </c>
      <c r="O543" s="16"/>
      <c r="P543" s="15"/>
      <c r="Q543" s="15" t="s">
        <v>1729</v>
      </c>
      <c r="R543" s="15" t="s">
        <v>1730</v>
      </c>
      <c r="S543" s="59">
        <v>3.771347</v>
      </c>
      <c r="T543" s="59">
        <v>50.250497</v>
      </c>
      <c r="U543" s="17">
        <v>31</v>
      </c>
      <c r="V543" s="3">
        <v>554992</v>
      </c>
      <c r="W543" s="3">
        <v>5566767</v>
      </c>
      <c r="X543" s="59">
        <v>1.5941804478149495</v>
      </c>
      <c r="Y543" s="59">
        <v>55.8339513469554</v>
      </c>
      <c r="Z543" s="18"/>
      <c r="AA543" s="19" t="s">
        <v>5138</v>
      </c>
      <c r="AB543" s="19">
        <v>2018</v>
      </c>
      <c r="AC543" s="12">
        <v>43250</v>
      </c>
      <c r="AD543" s="19"/>
      <c r="AE543" s="23" t="s">
        <v>1731</v>
      </c>
    </row>
    <row r="544" spans="1:31" ht="12.75">
      <c r="A544" s="32" t="s">
        <v>1732</v>
      </c>
      <c r="B544" s="20" t="s">
        <v>5279</v>
      </c>
      <c r="C544" s="20" t="s">
        <v>1733</v>
      </c>
      <c r="D544" s="13" t="s">
        <v>1734</v>
      </c>
      <c r="E544" s="14">
        <v>158</v>
      </c>
      <c r="F544" s="14">
        <v>4</v>
      </c>
      <c r="G544" s="15" t="s">
        <v>1708</v>
      </c>
      <c r="H544" s="15" t="s">
        <v>1735</v>
      </c>
      <c r="I544" s="15" t="s">
        <v>1736</v>
      </c>
      <c r="J544" s="44" t="str">
        <f>HYPERLINK("https://www.centcols.org/util/geo/visuGen.php?code=FR-59-0158","FR-59-0158")</f>
        <v>FR-59-0158</v>
      </c>
      <c r="K544" s="15"/>
      <c r="L544" s="13"/>
      <c r="M544" s="14">
        <v>99</v>
      </c>
      <c r="N544" s="14">
        <v>20</v>
      </c>
      <c r="O544" s="16"/>
      <c r="P544" s="15"/>
      <c r="Q544" s="15" t="s">
        <v>1737</v>
      </c>
      <c r="R544" s="15" t="s">
        <v>1738</v>
      </c>
      <c r="S544" s="59">
        <v>3.808699</v>
      </c>
      <c r="T544" s="59">
        <v>50.121945</v>
      </c>
      <c r="U544" s="17">
        <v>31</v>
      </c>
      <c r="V544" s="3">
        <v>557810</v>
      </c>
      <c r="W544" s="3">
        <v>5552502</v>
      </c>
      <c r="X544" s="59">
        <v>1.6356817845971579</v>
      </c>
      <c r="Y544" s="59">
        <v>55.69111847500933</v>
      </c>
      <c r="Z544" s="18"/>
      <c r="AA544" s="19" t="s">
        <v>5138</v>
      </c>
      <c r="AB544" s="19">
        <v>2018</v>
      </c>
      <c r="AC544" s="12">
        <v>43250</v>
      </c>
      <c r="AD544" s="19"/>
      <c r="AE544" s="23" t="s">
        <v>1739</v>
      </c>
    </row>
    <row r="545" spans="1:31" ht="12.75">
      <c r="A545" s="104" t="s">
        <v>1740</v>
      </c>
      <c r="B545" s="1" t="s">
        <v>5279</v>
      </c>
      <c r="C545" s="1" t="s">
        <v>1741</v>
      </c>
      <c r="D545" s="1" t="s">
        <v>1742</v>
      </c>
      <c r="E545" s="2">
        <v>196</v>
      </c>
      <c r="F545" s="2">
        <v>4</v>
      </c>
      <c r="G545" s="3" t="s">
        <v>1718</v>
      </c>
      <c r="H545" s="3" t="s">
        <v>1743</v>
      </c>
      <c r="I545" s="3" t="s">
        <v>1744</v>
      </c>
      <c r="J545" s="44" t="str">
        <f>HYPERLINK("https://www.centcols.org/util/geo/visuGen.php?code=FR-59-0196","FR-59-0196")</f>
        <v>FR-59-0196</v>
      </c>
      <c r="K545" s="3" t="s">
        <v>1745</v>
      </c>
      <c r="L545" s="1" t="s">
        <v>5157</v>
      </c>
      <c r="M545" s="2">
        <v>0</v>
      </c>
      <c r="N545" s="2">
        <v>0</v>
      </c>
      <c r="O545" s="5"/>
      <c r="P545" s="3"/>
      <c r="Q545" s="3" t="s">
        <v>1746</v>
      </c>
      <c r="R545" s="3" t="s">
        <v>1747</v>
      </c>
      <c r="S545" s="59">
        <v>3.750616</v>
      </c>
      <c r="T545" s="59">
        <v>50.060084</v>
      </c>
      <c r="U545" s="22">
        <v>31</v>
      </c>
      <c r="V545" s="3">
        <v>553727</v>
      </c>
      <c r="W545" s="3">
        <v>5545581</v>
      </c>
      <c r="X545" s="25">
        <v>1.571148728816398</v>
      </c>
      <c r="Y545" s="25">
        <v>55.62238470359936</v>
      </c>
      <c r="Z545" s="18"/>
      <c r="AA545" s="19" t="s">
        <v>5138</v>
      </c>
      <c r="AB545" s="19">
        <v>2018</v>
      </c>
      <c r="AC545" s="12">
        <v>43250</v>
      </c>
      <c r="AD545" s="19"/>
      <c r="AE545" s="23" t="s">
        <v>1748</v>
      </c>
    </row>
    <row r="546" spans="1:31" ht="22.5">
      <c r="A546" s="104" t="s">
        <v>1749</v>
      </c>
      <c r="B546" s="1" t="s">
        <v>1750</v>
      </c>
      <c r="C546" s="1" t="s">
        <v>1751</v>
      </c>
      <c r="D546" s="1" t="s">
        <v>1752</v>
      </c>
      <c r="E546" s="2">
        <v>266</v>
      </c>
      <c r="F546" s="2">
        <v>5</v>
      </c>
      <c r="G546" s="3" t="s">
        <v>5460</v>
      </c>
      <c r="H546" s="3" t="s">
        <v>1753</v>
      </c>
      <c r="I546" s="3" t="s">
        <v>1754</v>
      </c>
      <c r="J546" s="44" t="str">
        <f>HYPERLINK("https://www.centcols.org/util/geo/visuGen.php?code=FR-59-0266","FR-59-0266")</f>
        <v>FR-59-0266</v>
      </c>
      <c r="K546" s="3" t="s">
        <v>1755</v>
      </c>
      <c r="L546" s="1" t="s">
        <v>1756</v>
      </c>
      <c r="M546" s="2">
        <v>0</v>
      </c>
      <c r="N546" s="2">
        <v>0</v>
      </c>
      <c r="O546" s="5"/>
      <c r="P546" s="3"/>
      <c r="Q546" s="3" t="s">
        <v>1757</v>
      </c>
      <c r="R546" s="3" t="s">
        <v>1758</v>
      </c>
      <c r="S546" s="59">
        <v>4.146897</v>
      </c>
      <c r="T546" s="59">
        <v>49.993661</v>
      </c>
      <c r="U546" s="22">
        <v>31</v>
      </c>
      <c r="V546" s="3">
        <v>582205</v>
      </c>
      <c r="W546" s="3">
        <v>5538556</v>
      </c>
      <c r="X546" s="25">
        <v>2.011439062515839</v>
      </c>
      <c r="Y546" s="25">
        <v>55.54858547530001</v>
      </c>
      <c r="Z546" s="18"/>
      <c r="AA546" s="19" t="s">
        <v>5138</v>
      </c>
      <c r="AB546" s="19">
        <v>2018</v>
      </c>
      <c r="AC546" s="12">
        <v>43250</v>
      </c>
      <c r="AD546" s="19"/>
      <c r="AE546" s="23" t="s">
        <v>1759</v>
      </c>
    </row>
    <row r="547" spans="1:31" ht="12.75">
      <c r="A547" s="104" t="s">
        <v>1760</v>
      </c>
      <c r="B547" s="20" t="s">
        <v>1761</v>
      </c>
      <c r="C547" s="20" t="s">
        <v>1762</v>
      </c>
      <c r="D547" s="1" t="s">
        <v>1763</v>
      </c>
      <c r="E547" s="2">
        <v>116</v>
      </c>
      <c r="F547" s="2">
        <v>9</v>
      </c>
      <c r="G547" s="3" t="s">
        <v>1764</v>
      </c>
      <c r="H547" s="3" t="s">
        <v>1765</v>
      </c>
      <c r="I547" s="3" t="s">
        <v>1766</v>
      </c>
      <c r="J547" s="44" t="str">
        <f>HYPERLINK("https://www.centcols.org/util/geo/visuGen.php?code=FR-60-0116","FR-60-0116")</f>
        <v>FR-60-0116</v>
      </c>
      <c r="K547" s="3"/>
      <c r="L547" s="1" t="s">
        <v>5176</v>
      </c>
      <c r="M547" s="2">
        <v>99</v>
      </c>
      <c r="N547" s="2">
        <v>15</v>
      </c>
      <c r="O547" s="5"/>
      <c r="P547" s="3"/>
      <c r="Q547" s="3" t="s">
        <v>1767</v>
      </c>
      <c r="R547" s="3" t="s">
        <v>1768</v>
      </c>
      <c r="S547" s="59">
        <v>2.422161</v>
      </c>
      <c r="T547" s="59">
        <v>49.581681</v>
      </c>
      <c r="U547" s="22">
        <v>31</v>
      </c>
      <c r="V547" s="3">
        <v>458230</v>
      </c>
      <c r="W547" s="3">
        <v>5492282</v>
      </c>
      <c r="X547" s="25">
        <v>0.09515574807413585</v>
      </c>
      <c r="Y547" s="25">
        <v>55.09082957762353</v>
      </c>
      <c r="Z547" s="18"/>
      <c r="AA547" s="19" t="s">
        <v>5138</v>
      </c>
      <c r="AB547" s="19">
        <v>2018</v>
      </c>
      <c r="AC547" s="12">
        <v>43250</v>
      </c>
      <c r="AD547" s="19"/>
      <c r="AE547" s="23" t="s">
        <v>1769</v>
      </c>
    </row>
    <row r="548" spans="1:31" ht="12.75">
      <c r="A548" s="104" t="s">
        <v>1770</v>
      </c>
      <c r="B548" s="1" t="s">
        <v>1771</v>
      </c>
      <c r="C548" s="1" t="s">
        <v>1772</v>
      </c>
      <c r="D548" s="1" t="s">
        <v>1773</v>
      </c>
      <c r="E548" s="2">
        <v>122</v>
      </c>
      <c r="F548" s="2">
        <v>9</v>
      </c>
      <c r="G548" s="3" t="s">
        <v>1774</v>
      </c>
      <c r="H548" s="3" t="s">
        <v>1775</v>
      </c>
      <c r="I548" s="3" t="s">
        <v>1776</v>
      </c>
      <c r="J548" s="44" t="str">
        <f>HYPERLINK("https://www.centcols.org/util/geo/visuGen.php?code=FR-60-0122","FR-60-0122")</f>
        <v>FR-60-0122</v>
      </c>
      <c r="K548" s="3"/>
      <c r="L548" s="1"/>
      <c r="M548" s="2">
        <v>99</v>
      </c>
      <c r="N548" s="2">
        <v>20</v>
      </c>
      <c r="O548" s="5"/>
      <c r="P548" s="3"/>
      <c r="Q548" s="3" t="s">
        <v>1777</v>
      </c>
      <c r="R548" s="3" t="s">
        <v>1778</v>
      </c>
      <c r="S548" s="59">
        <v>2.610956</v>
      </c>
      <c r="T548" s="59">
        <v>49.251272</v>
      </c>
      <c r="U548" s="22">
        <v>31</v>
      </c>
      <c r="V548" s="3">
        <v>471688</v>
      </c>
      <c r="W548" s="3">
        <v>5455462</v>
      </c>
      <c r="X548" s="25">
        <v>0.30491339312214366</v>
      </c>
      <c r="Y548" s="25">
        <v>54.72370886309303</v>
      </c>
      <c r="Z548" s="18"/>
      <c r="AA548" s="19" t="s">
        <v>5138</v>
      </c>
      <c r="AB548" s="19">
        <v>2018</v>
      </c>
      <c r="AC548" s="12">
        <v>43250</v>
      </c>
      <c r="AD548" s="19"/>
      <c r="AE548" s="23" t="s">
        <v>5287</v>
      </c>
    </row>
    <row r="549" spans="1:31" ht="12.75">
      <c r="A549" s="104" t="s">
        <v>1779</v>
      </c>
      <c r="B549" s="1" t="s">
        <v>1780</v>
      </c>
      <c r="C549" s="1" t="s">
        <v>1781</v>
      </c>
      <c r="D549" s="1" t="s">
        <v>1781</v>
      </c>
      <c r="E549" s="2">
        <v>168</v>
      </c>
      <c r="F549" s="2">
        <v>4</v>
      </c>
      <c r="G549" s="3" t="s">
        <v>1782</v>
      </c>
      <c r="H549" s="3" t="s">
        <v>1783</v>
      </c>
      <c r="I549" s="3" t="s">
        <v>1784</v>
      </c>
      <c r="J549" s="44" t="str">
        <f>HYPERLINK("https://www.centcols.org/util/geo/visuGen.php?code=FR-60-0168","FR-60-0168")</f>
        <v>FR-60-0168</v>
      </c>
      <c r="K549" s="3"/>
      <c r="L549" s="1" t="s">
        <v>5138</v>
      </c>
      <c r="M549" s="2">
        <v>1</v>
      </c>
      <c r="N549" s="2">
        <v>10</v>
      </c>
      <c r="O549" s="5"/>
      <c r="P549" s="3"/>
      <c r="Q549" s="3" t="s">
        <v>1785</v>
      </c>
      <c r="R549" s="3" t="s">
        <v>1786</v>
      </c>
      <c r="S549" s="59">
        <v>1.869104</v>
      </c>
      <c r="T549" s="59">
        <v>49.561059</v>
      </c>
      <c r="U549" s="22">
        <v>31</v>
      </c>
      <c r="V549" s="3">
        <v>418217</v>
      </c>
      <c r="W549" s="3">
        <v>5490443</v>
      </c>
      <c r="X549" s="25">
        <v>-0.5193200999797868</v>
      </c>
      <c r="Y549" s="25">
        <v>55.06792039076083</v>
      </c>
      <c r="Z549" s="18"/>
      <c r="AA549" s="19" t="s">
        <v>5138</v>
      </c>
      <c r="AB549" s="19">
        <v>2018</v>
      </c>
      <c r="AC549" s="12">
        <v>43250</v>
      </c>
      <c r="AD549" s="19"/>
      <c r="AE549" s="23" t="s">
        <v>1787</v>
      </c>
    </row>
    <row r="550" spans="1:31" ht="12.75">
      <c r="A550" s="4" t="s">
        <v>1788</v>
      </c>
      <c r="B550" s="1" t="s">
        <v>5923</v>
      </c>
      <c r="C550" s="1" t="s">
        <v>1789</v>
      </c>
      <c r="D550" s="1" t="s">
        <v>1790</v>
      </c>
      <c r="E550" s="2">
        <v>318</v>
      </c>
      <c r="F550" s="2">
        <v>17</v>
      </c>
      <c r="G550" s="3" t="s">
        <v>1791</v>
      </c>
      <c r="H550" s="3" t="s">
        <v>1792</v>
      </c>
      <c r="I550" s="3" t="s">
        <v>1793</v>
      </c>
      <c r="J550" s="44" t="str">
        <f>HYPERLINK("https://www.centcols.org/util/geo/visuGen.php?code=FR-61-0318","FR-61-0318")</f>
        <v>FR-61-0318</v>
      </c>
      <c r="K550" s="3" t="s">
        <v>1794</v>
      </c>
      <c r="L550" s="1" t="s">
        <v>1795</v>
      </c>
      <c r="M550" s="8">
        <v>0</v>
      </c>
      <c r="N550" s="8">
        <v>0</v>
      </c>
      <c r="O550" s="4"/>
      <c r="P550" s="3"/>
      <c r="Q550" s="3" t="s">
        <v>1796</v>
      </c>
      <c r="R550" s="3" t="s">
        <v>1797</v>
      </c>
      <c r="S550" s="25">
        <v>-0.4261883157229347</v>
      </c>
      <c r="T550" s="25">
        <v>48.64735903080584</v>
      </c>
      <c r="U550" s="2">
        <v>30</v>
      </c>
      <c r="V550" s="3">
        <v>689572</v>
      </c>
      <c r="W550" s="3">
        <v>5391453</v>
      </c>
      <c r="X550" s="25">
        <v>-3.069556261999166</v>
      </c>
      <c r="Y550" s="25">
        <v>54.05270687590873</v>
      </c>
      <c r="Z550" s="6"/>
      <c r="AA550" s="7" t="s">
        <v>5138</v>
      </c>
      <c r="AB550" s="8">
        <v>2005</v>
      </c>
      <c r="AC550" s="9"/>
      <c r="AD550" s="10">
        <v>1</v>
      </c>
      <c r="AE550" s="31" t="s">
        <v>4128</v>
      </c>
    </row>
    <row r="551" spans="1:31" ht="12.75">
      <c r="A551" s="104" t="s">
        <v>1798</v>
      </c>
      <c r="B551" s="1" t="s">
        <v>1780</v>
      </c>
      <c r="C551" s="1" t="s">
        <v>5412</v>
      </c>
      <c r="D551" s="1" t="s">
        <v>5412</v>
      </c>
      <c r="E551" s="2">
        <v>83</v>
      </c>
      <c r="F551" s="2">
        <v>4</v>
      </c>
      <c r="G551" s="3" t="s">
        <v>1799</v>
      </c>
      <c r="H551" s="3" t="s">
        <v>1800</v>
      </c>
      <c r="I551" s="3" t="s">
        <v>1801</v>
      </c>
      <c r="J551" s="44" t="str">
        <f>HYPERLINK("https://www.centcols.org/util/geo/visuGen.php?code=FR-62-0083","FR-62-0083")</f>
        <v>FR-62-0083</v>
      </c>
      <c r="K551" s="3"/>
      <c r="L551" s="1"/>
      <c r="M551" s="2">
        <v>99</v>
      </c>
      <c r="N551" s="2">
        <v>20</v>
      </c>
      <c r="O551" s="5"/>
      <c r="P551" s="3"/>
      <c r="Q551" s="3" t="s">
        <v>1802</v>
      </c>
      <c r="R551" s="3" t="s">
        <v>1803</v>
      </c>
      <c r="S551" s="59">
        <v>3.097576</v>
      </c>
      <c r="T551" s="59">
        <v>50.136347</v>
      </c>
      <c r="U551" s="22">
        <v>31</v>
      </c>
      <c r="V551" s="3">
        <v>506973</v>
      </c>
      <c r="W551" s="3">
        <v>5553795</v>
      </c>
      <c r="X551" s="25">
        <v>0.8455861809081445</v>
      </c>
      <c r="Y551" s="25">
        <v>55.70711946115213</v>
      </c>
      <c r="Z551" s="18"/>
      <c r="AA551" s="19" t="s">
        <v>5138</v>
      </c>
      <c r="AB551" s="19">
        <v>2018</v>
      </c>
      <c r="AC551" s="12">
        <v>43250</v>
      </c>
      <c r="AD551" s="19"/>
      <c r="AE551" s="23" t="s">
        <v>1804</v>
      </c>
    </row>
    <row r="552" spans="1:31" ht="12.75">
      <c r="A552" s="32" t="s">
        <v>1805</v>
      </c>
      <c r="B552" s="20" t="s">
        <v>1806</v>
      </c>
      <c r="C552" s="20" t="s">
        <v>1807</v>
      </c>
      <c r="D552" s="13" t="s">
        <v>1808</v>
      </c>
      <c r="E552" s="14">
        <v>117</v>
      </c>
      <c r="F552" s="14">
        <v>4</v>
      </c>
      <c r="G552" s="15" t="s">
        <v>1809</v>
      </c>
      <c r="H552" s="15" t="s">
        <v>1810</v>
      </c>
      <c r="I552" s="15" t="s">
        <v>1811</v>
      </c>
      <c r="J552" s="44" t="str">
        <f>HYPERLINK("https://www.centcols.org/util/geo/visuGen.php?code=FR-62-0117","FR-62-0117")</f>
        <v>FR-62-0117</v>
      </c>
      <c r="K552" s="15"/>
      <c r="L552" s="13"/>
      <c r="M552" s="14">
        <v>99</v>
      </c>
      <c r="N552" s="14">
        <v>20</v>
      </c>
      <c r="O552" s="16"/>
      <c r="P552" s="15"/>
      <c r="Q552" s="15" t="s">
        <v>1812</v>
      </c>
      <c r="R552" s="15" t="s">
        <v>1813</v>
      </c>
      <c r="S552" s="59">
        <v>2.915261</v>
      </c>
      <c r="T552" s="59">
        <v>50.120404</v>
      </c>
      <c r="U552" s="17">
        <v>31</v>
      </c>
      <c r="V552" s="3">
        <v>493942</v>
      </c>
      <c r="W552" s="3">
        <v>5552021</v>
      </c>
      <c r="X552" s="59">
        <v>0.6430230761743039</v>
      </c>
      <c r="Y552" s="59">
        <v>55.68940554783706</v>
      </c>
      <c r="Z552" s="18"/>
      <c r="AA552" s="19" t="s">
        <v>5138</v>
      </c>
      <c r="AB552" s="19">
        <v>2018</v>
      </c>
      <c r="AC552" s="12">
        <v>43250</v>
      </c>
      <c r="AD552" s="19"/>
      <c r="AE552" s="23" t="s">
        <v>5149</v>
      </c>
    </row>
    <row r="553" spans="1:31" ht="12.75">
      <c r="A553" s="16" t="s">
        <v>1814</v>
      </c>
      <c r="B553" s="1" t="s">
        <v>4810</v>
      </c>
      <c r="C553" s="1" t="s">
        <v>1815</v>
      </c>
      <c r="D553" s="1" t="s">
        <v>1816</v>
      </c>
      <c r="E553" s="2">
        <v>119</v>
      </c>
      <c r="F553" s="2">
        <v>2</v>
      </c>
      <c r="G553" s="3" t="s">
        <v>1817</v>
      </c>
      <c r="H553" s="3" t="s">
        <v>1818</v>
      </c>
      <c r="I553" s="3" t="s">
        <v>1819</v>
      </c>
      <c r="J553" s="44" t="str">
        <f>HYPERLINK("https://www.centcols.org/util/geo/visuGen.php?code=FR-62-0119","FR-62-0119")</f>
        <v>FR-62-0119</v>
      </c>
      <c r="K553" s="3"/>
      <c r="L553" s="1" t="s">
        <v>5257</v>
      </c>
      <c r="M553" s="2">
        <v>1</v>
      </c>
      <c r="N553" s="2">
        <v>10</v>
      </c>
      <c r="O553" s="5"/>
      <c r="P553" s="3"/>
      <c r="Q553" s="3" t="s">
        <v>1820</v>
      </c>
      <c r="R553" s="3" t="s">
        <v>1821</v>
      </c>
      <c r="S553" s="25">
        <v>2.507212</v>
      </c>
      <c r="T553" s="25">
        <v>50.331921</v>
      </c>
      <c r="U553" s="22">
        <v>31</v>
      </c>
      <c r="V553" s="3">
        <v>464927</v>
      </c>
      <c r="W553" s="3">
        <v>5575652</v>
      </c>
      <c r="X553" s="25">
        <v>0.189662</v>
      </c>
      <c r="Y553" s="25">
        <v>55.924427</v>
      </c>
      <c r="Z553" s="61"/>
      <c r="AA553" s="54" t="s">
        <v>5176</v>
      </c>
      <c r="AB553" s="54">
        <v>2018</v>
      </c>
      <c r="AC553" s="57">
        <v>43199</v>
      </c>
      <c r="AD553" s="54"/>
      <c r="AE553" s="61" t="s">
        <v>1822</v>
      </c>
    </row>
    <row r="554" spans="1:31" ht="12.75">
      <c r="A554" s="18" t="s">
        <v>1823</v>
      </c>
      <c r="B554" s="20" t="s">
        <v>4347</v>
      </c>
      <c r="C554" s="20" t="s">
        <v>1824</v>
      </c>
      <c r="D554" s="20" t="s">
        <v>1825</v>
      </c>
      <c r="E554" s="19">
        <v>136</v>
      </c>
      <c r="F554" s="19">
        <v>2</v>
      </c>
      <c r="G554" s="19" t="s">
        <v>1826</v>
      </c>
      <c r="H554" s="19" t="s">
        <v>1827</v>
      </c>
      <c r="I554" s="19" t="s">
        <v>1828</v>
      </c>
      <c r="J554" s="44" t="str">
        <f>HYPERLINK("https://www.centcols.org/util/geo/visuGen.php?code=FR-62-0136a","FR-62-0136a")</f>
        <v>FR-62-0136a</v>
      </c>
      <c r="K554" s="19" t="s">
        <v>1829</v>
      </c>
      <c r="L554" s="20" t="s">
        <v>5157</v>
      </c>
      <c r="M554" s="19">
        <v>0</v>
      </c>
      <c r="N554" s="19">
        <v>0</v>
      </c>
      <c r="O554" s="18"/>
      <c r="P554" s="19"/>
      <c r="Q554" s="19" t="s">
        <v>1830</v>
      </c>
      <c r="R554" s="19" t="s">
        <v>7026</v>
      </c>
      <c r="S554" s="59">
        <v>2.692768</v>
      </c>
      <c r="T554" s="59">
        <v>50.350391</v>
      </c>
      <c r="U554" s="19">
        <v>31</v>
      </c>
      <c r="V554" s="3">
        <v>478142</v>
      </c>
      <c r="W554" s="3">
        <v>5577635</v>
      </c>
      <c r="X554" s="59">
        <v>0.395826</v>
      </c>
      <c r="Y554" s="59">
        <v>55.944947</v>
      </c>
      <c r="Z554" s="18"/>
      <c r="AA554" s="19" t="s">
        <v>5138</v>
      </c>
      <c r="AB554" s="11">
        <v>2019</v>
      </c>
      <c r="AC554" s="60">
        <v>43525</v>
      </c>
      <c r="AD554" s="54"/>
      <c r="AE554" s="31" t="s">
        <v>4128</v>
      </c>
    </row>
    <row r="555" spans="1:31" ht="12.75">
      <c r="A555" s="32" t="s">
        <v>1831</v>
      </c>
      <c r="B555" s="20" t="s">
        <v>1806</v>
      </c>
      <c r="C555" s="20" t="s">
        <v>1832</v>
      </c>
      <c r="D555" s="13" t="s">
        <v>1833</v>
      </c>
      <c r="E555" s="14">
        <v>147</v>
      </c>
      <c r="F555" s="14">
        <v>2</v>
      </c>
      <c r="G555" s="15" t="s">
        <v>1817</v>
      </c>
      <c r="H555" s="15" t="s">
        <v>1834</v>
      </c>
      <c r="I555" s="15" t="s">
        <v>1835</v>
      </c>
      <c r="J555" s="44" t="str">
        <f>HYPERLINK("https://www.centcols.org/util/geo/visuGen.php?code=FR-62-0147","FR-62-0147")</f>
        <v>FR-62-0147</v>
      </c>
      <c r="K555" s="15"/>
      <c r="L555" s="13"/>
      <c r="M555" s="14">
        <v>99</v>
      </c>
      <c r="N555" s="14">
        <v>20</v>
      </c>
      <c r="O555" s="16"/>
      <c r="P555" s="15"/>
      <c r="Q555" s="15" t="s">
        <v>1836</v>
      </c>
      <c r="R555" s="15" t="s">
        <v>1837</v>
      </c>
      <c r="S555" s="59">
        <v>2.421507</v>
      </c>
      <c r="T555" s="59">
        <v>50.342415</v>
      </c>
      <c r="U555" s="17">
        <v>31</v>
      </c>
      <c r="V555" s="3">
        <v>458836</v>
      </c>
      <c r="W555" s="3">
        <v>5576863</v>
      </c>
      <c r="X555" s="59">
        <v>0.09443891199239347</v>
      </c>
      <c r="Y555" s="59">
        <v>55.93608663408238</v>
      </c>
      <c r="Z555" s="18"/>
      <c r="AA555" s="19" t="s">
        <v>5138</v>
      </c>
      <c r="AB555" s="19">
        <v>2018</v>
      </c>
      <c r="AC555" s="12">
        <v>43250</v>
      </c>
      <c r="AD555" s="19"/>
      <c r="AE555" s="23" t="s">
        <v>5149</v>
      </c>
    </row>
    <row r="556" spans="1:31" ht="12.75">
      <c r="A556" s="104" t="s">
        <v>1838</v>
      </c>
      <c r="B556" s="1" t="s">
        <v>5262</v>
      </c>
      <c r="C556" s="1" t="s">
        <v>1839</v>
      </c>
      <c r="D556" s="1" t="s">
        <v>1839</v>
      </c>
      <c r="E556" s="2">
        <v>147</v>
      </c>
      <c r="F556" s="2">
        <v>2</v>
      </c>
      <c r="G556" s="3" t="s">
        <v>1817</v>
      </c>
      <c r="H556" s="3" t="s">
        <v>1840</v>
      </c>
      <c r="I556" s="3" t="s">
        <v>1841</v>
      </c>
      <c r="J556" s="44" t="str">
        <f>HYPERLINK("https://www.centcols.org/util/geo/visuGen.php?code=FR-62-0147a","FR-62-0147a")</f>
        <v>FR-62-0147a</v>
      </c>
      <c r="K556" s="3"/>
      <c r="L556" s="1"/>
      <c r="M556" s="2">
        <v>99</v>
      </c>
      <c r="N556" s="2">
        <v>20</v>
      </c>
      <c r="O556" s="5"/>
      <c r="P556" s="3"/>
      <c r="Q556" s="3" t="s">
        <v>1842</v>
      </c>
      <c r="R556" s="3" t="s">
        <v>1843</v>
      </c>
      <c r="S556" s="59">
        <v>2.379243</v>
      </c>
      <c r="T556" s="59">
        <v>50.345402</v>
      </c>
      <c r="U556" s="22">
        <v>31</v>
      </c>
      <c r="V556" s="3">
        <v>455832</v>
      </c>
      <c r="W556" s="3">
        <v>5577219</v>
      </c>
      <c r="X556" s="25">
        <v>0.0474813630968177</v>
      </c>
      <c r="Y556" s="25">
        <v>55.939405683976794</v>
      </c>
      <c r="Z556" s="18"/>
      <c r="AA556" s="19" t="s">
        <v>5138</v>
      </c>
      <c r="AB556" s="19">
        <v>2018</v>
      </c>
      <c r="AC556" s="12">
        <v>43250</v>
      </c>
      <c r="AD556" s="19"/>
      <c r="AE556" s="23" t="s">
        <v>5149</v>
      </c>
    </row>
    <row r="557" spans="1:31" ht="12.75">
      <c r="A557" s="4" t="s">
        <v>1844</v>
      </c>
      <c r="B557" s="1" t="s">
        <v>5815</v>
      </c>
      <c r="C557" s="1" t="s">
        <v>1845</v>
      </c>
      <c r="D557" s="1" t="s">
        <v>1846</v>
      </c>
      <c r="E557" s="2">
        <v>785</v>
      </c>
      <c r="F557" s="2">
        <v>43</v>
      </c>
      <c r="G557" s="3" t="s">
        <v>1847</v>
      </c>
      <c r="H557" s="3" t="s">
        <v>1848</v>
      </c>
      <c r="I557" s="3" t="s">
        <v>1849</v>
      </c>
      <c r="J557" s="44" t="str">
        <f>HYPERLINK("https://www.centcols.org/util/geo/visuGen.php?code=FR-63-0785","FR-63-0785")</f>
        <v>FR-63-0785</v>
      </c>
      <c r="K557" s="3" t="s">
        <v>1850</v>
      </c>
      <c r="L557" s="1" t="s">
        <v>1851</v>
      </c>
      <c r="M557" s="8">
        <v>0</v>
      </c>
      <c r="N557" s="8">
        <v>0</v>
      </c>
      <c r="O557" s="4"/>
      <c r="P557" s="3"/>
      <c r="Q557" s="3" t="s">
        <v>1852</v>
      </c>
      <c r="R557" s="3" t="s">
        <v>1853</v>
      </c>
      <c r="S557" s="25">
        <v>3.727108</v>
      </c>
      <c r="T557" s="25">
        <v>45.883582</v>
      </c>
      <c r="U557" s="2">
        <v>31</v>
      </c>
      <c r="V557" s="3">
        <v>556420</v>
      </c>
      <c r="W557" s="3">
        <v>5081370</v>
      </c>
      <c r="X557" s="25">
        <v>1.545012</v>
      </c>
      <c r="Y557" s="25">
        <v>50.981797</v>
      </c>
      <c r="Z557" s="6"/>
      <c r="AA557" s="7" t="s">
        <v>5138</v>
      </c>
      <c r="AB557" s="8">
        <v>2015</v>
      </c>
      <c r="AC557" s="9">
        <v>42297</v>
      </c>
      <c r="AD557" s="10"/>
      <c r="AE557" s="31" t="s">
        <v>1254</v>
      </c>
    </row>
    <row r="558" spans="1:31" ht="12.75">
      <c r="A558" s="4" t="s">
        <v>1854</v>
      </c>
      <c r="B558" s="1" t="s">
        <v>5128</v>
      </c>
      <c r="C558" s="1" t="s">
        <v>1855</v>
      </c>
      <c r="D558" s="1" t="s">
        <v>1856</v>
      </c>
      <c r="E558" s="2">
        <v>1270</v>
      </c>
      <c r="F558" s="2">
        <v>50</v>
      </c>
      <c r="G558" s="3" t="s">
        <v>3926</v>
      </c>
      <c r="H558" s="3" t="s">
        <v>1857</v>
      </c>
      <c r="I558" s="3" t="s">
        <v>1858</v>
      </c>
      <c r="J558" s="44" t="str">
        <f>HYPERLINK("https://www.centcols.org/util/geo/visuGen.php?code=FR-63-1270","FR-63-1270")</f>
        <v>FR-63-1270</v>
      </c>
      <c r="K558" s="3" t="s">
        <v>1859</v>
      </c>
      <c r="L558" s="1" t="s">
        <v>1860</v>
      </c>
      <c r="M558" s="8">
        <v>0</v>
      </c>
      <c r="N558" s="8">
        <v>0</v>
      </c>
      <c r="O558" s="4"/>
      <c r="P558" s="3"/>
      <c r="Q558" s="3" t="s">
        <v>1861</v>
      </c>
      <c r="R558" s="3" t="s">
        <v>1862</v>
      </c>
      <c r="S558" s="25">
        <v>3.8703129963498917</v>
      </c>
      <c r="T558" s="25">
        <v>45.562005306866055</v>
      </c>
      <c r="U558" s="2">
        <v>31</v>
      </c>
      <c r="V558" s="3">
        <v>567920</v>
      </c>
      <c r="W558" s="3">
        <v>5045753</v>
      </c>
      <c r="X558" s="25">
        <v>1.7041199620594845</v>
      </c>
      <c r="Y558" s="25">
        <v>50.624483634282136</v>
      </c>
      <c r="Z558" s="6"/>
      <c r="AA558" s="7" t="s">
        <v>5138</v>
      </c>
      <c r="AB558" s="8">
        <v>2003</v>
      </c>
      <c r="AC558" s="9"/>
      <c r="AD558" s="10">
        <v>1</v>
      </c>
      <c r="AE558" s="31" t="s">
        <v>1863</v>
      </c>
    </row>
    <row r="559" spans="1:31" ht="12.75">
      <c r="A559" s="4" t="s">
        <v>1864</v>
      </c>
      <c r="B559" s="1" t="s">
        <v>5128</v>
      </c>
      <c r="C559" s="1" t="s">
        <v>1865</v>
      </c>
      <c r="D559" s="1" t="s">
        <v>1866</v>
      </c>
      <c r="E559" s="2">
        <v>244</v>
      </c>
      <c r="F559" s="2">
        <v>69</v>
      </c>
      <c r="G559" s="3" t="s">
        <v>1867</v>
      </c>
      <c r="H559" s="3" t="s">
        <v>1868</v>
      </c>
      <c r="I559" s="3" t="s">
        <v>1869</v>
      </c>
      <c r="J559" s="44" t="str">
        <f>HYPERLINK("https://www.centcols.org/util/geo/visuGen.php?code=FR-64-0244","FR-64-0244")</f>
        <v>FR-64-0244</v>
      </c>
      <c r="K559" s="3" t="s">
        <v>1870</v>
      </c>
      <c r="L559" s="1" t="s">
        <v>6334</v>
      </c>
      <c r="M559" s="8">
        <v>0</v>
      </c>
      <c r="N559" s="8">
        <v>0</v>
      </c>
      <c r="O559" s="4"/>
      <c r="P559" s="3"/>
      <c r="Q559" s="3" t="s">
        <v>1871</v>
      </c>
      <c r="R559" s="3" t="s">
        <v>1872</v>
      </c>
      <c r="S559" s="25">
        <v>-1.6326525454564147</v>
      </c>
      <c r="T559" s="25">
        <v>43.28272310138331</v>
      </c>
      <c r="U559" s="2">
        <v>30</v>
      </c>
      <c r="V559" s="3">
        <v>610939</v>
      </c>
      <c r="W559" s="3">
        <v>4793119</v>
      </c>
      <c r="X559" s="25">
        <v>-4.4100650939898225</v>
      </c>
      <c r="Y559" s="25">
        <v>48.09195667378091</v>
      </c>
      <c r="Z559" s="6"/>
      <c r="AA559" s="7" t="s">
        <v>5176</v>
      </c>
      <c r="AB559" s="8" t="s">
        <v>1873</v>
      </c>
      <c r="AC559" s="9"/>
      <c r="AD559" s="10">
        <v>1</v>
      </c>
      <c r="AE559" s="31" t="s">
        <v>6773</v>
      </c>
    </row>
    <row r="560" spans="1:31" ht="12.75">
      <c r="A560" s="4" t="s">
        <v>1874</v>
      </c>
      <c r="B560" s="1" t="s">
        <v>1875</v>
      </c>
      <c r="C560" s="1" t="s">
        <v>1876</v>
      </c>
      <c r="D560" s="1" t="s">
        <v>1877</v>
      </c>
      <c r="E560" s="2">
        <v>340</v>
      </c>
      <c r="F560" s="2">
        <v>69</v>
      </c>
      <c r="G560" s="3" t="s">
        <v>1878</v>
      </c>
      <c r="H560" s="3" t="s">
        <v>1879</v>
      </c>
      <c r="I560" s="3" t="s">
        <v>1880</v>
      </c>
      <c r="J560" s="44" t="str">
        <f>HYPERLINK("https://www.centcols.org/util/geo/visuGen.php?code=FR-64-0340a","FR-64-0340a")</f>
        <v>FR-64-0340a</v>
      </c>
      <c r="K560" s="3" t="s">
        <v>1881</v>
      </c>
      <c r="L560" s="1" t="s">
        <v>5157</v>
      </c>
      <c r="M560" s="8">
        <v>0</v>
      </c>
      <c r="N560" s="8">
        <v>0</v>
      </c>
      <c r="O560" s="4"/>
      <c r="P560" s="3"/>
      <c r="Q560" s="3" t="s">
        <v>1882</v>
      </c>
      <c r="R560" s="3" t="s">
        <v>1883</v>
      </c>
      <c r="S560" s="25">
        <v>-1.34156</v>
      </c>
      <c r="T560" s="25">
        <v>43.257154</v>
      </c>
      <c r="U560" s="2">
        <v>30</v>
      </c>
      <c r="V560" s="3">
        <v>634613</v>
      </c>
      <c r="W560" s="3">
        <v>4790707</v>
      </c>
      <c r="X560" s="25">
        <v>-4.086642</v>
      </c>
      <c r="Y560" s="25">
        <v>48.063544</v>
      </c>
      <c r="Z560" s="6"/>
      <c r="AA560" s="7" t="s">
        <v>5138</v>
      </c>
      <c r="AB560" s="8">
        <v>2011</v>
      </c>
      <c r="AC560" s="9"/>
      <c r="AD560" s="10">
        <v>1</v>
      </c>
      <c r="AE560" s="31" t="s">
        <v>3676</v>
      </c>
    </row>
    <row r="561" spans="1:31" ht="12.75">
      <c r="A561" s="4" t="s">
        <v>1884</v>
      </c>
      <c r="B561" s="1" t="s">
        <v>5262</v>
      </c>
      <c r="C561" s="1" t="s">
        <v>1885</v>
      </c>
      <c r="D561" s="1" t="s">
        <v>1885</v>
      </c>
      <c r="E561" s="2">
        <v>360</v>
      </c>
      <c r="F561" s="2">
        <v>71</v>
      </c>
      <c r="G561" s="3" t="s">
        <v>1886</v>
      </c>
      <c r="H561" s="3" t="s">
        <v>1887</v>
      </c>
      <c r="I561" s="3" t="s">
        <v>1888</v>
      </c>
      <c r="J561" s="44" t="str">
        <f>HYPERLINK("https://www.centcols.org/util/geo/visuGen.php?code=FR-64-0360","FR-64-0360")</f>
        <v>FR-64-0360</v>
      </c>
      <c r="K561" s="3" t="s">
        <v>1889</v>
      </c>
      <c r="L561" s="1" t="s">
        <v>1890</v>
      </c>
      <c r="M561" s="8">
        <v>0</v>
      </c>
      <c r="N561" s="8">
        <v>0</v>
      </c>
      <c r="O561" s="4"/>
      <c r="P561" s="3"/>
      <c r="Q561" s="3" t="s">
        <v>1891</v>
      </c>
      <c r="R561" s="3" t="s">
        <v>1892</v>
      </c>
      <c r="S561" s="25">
        <v>-0.25997</v>
      </c>
      <c r="T561" s="25">
        <v>43.119139</v>
      </c>
      <c r="U561" s="2">
        <v>30</v>
      </c>
      <c r="V561" s="3">
        <v>722909</v>
      </c>
      <c r="W561" s="3">
        <v>4777690</v>
      </c>
      <c r="X561" s="25">
        <v>-2.88493</v>
      </c>
      <c r="Y561" s="25">
        <v>47.910184</v>
      </c>
      <c r="Z561" s="6"/>
      <c r="AA561" s="7" t="s">
        <v>5138</v>
      </c>
      <c r="AB561" s="8">
        <v>2017</v>
      </c>
      <c r="AC561" s="9"/>
      <c r="AD561" s="10"/>
      <c r="AE561" s="31" t="s">
        <v>1893</v>
      </c>
    </row>
    <row r="562" spans="1:31" ht="12.75">
      <c r="A562" s="18" t="s">
        <v>1894</v>
      </c>
      <c r="B562" s="62" t="s">
        <v>1895</v>
      </c>
      <c r="C562" s="62" t="s">
        <v>1896</v>
      </c>
      <c r="D562" s="62" t="s">
        <v>1897</v>
      </c>
      <c r="E562" s="24">
        <v>370</v>
      </c>
      <c r="F562" s="24">
        <v>69</v>
      </c>
      <c r="G562" s="24" t="s">
        <v>1898</v>
      </c>
      <c r="H562" s="24" t="s">
        <v>1899</v>
      </c>
      <c r="I562" s="24" t="s">
        <v>1900</v>
      </c>
      <c r="J562" s="44" t="str">
        <f>HYPERLINK("https://www.centcols.org/util/geo/visuGen.php?code=FR-64-0370a","FR-64-0370a")</f>
        <v>FR-64-0370a</v>
      </c>
      <c r="K562" s="19"/>
      <c r="L562" s="62" t="s">
        <v>5257</v>
      </c>
      <c r="M562" s="24">
        <v>1</v>
      </c>
      <c r="N562" s="24">
        <v>10</v>
      </c>
      <c r="O562" s="18"/>
      <c r="P562" s="19"/>
      <c r="Q562" s="24" t="s">
        <v>1901</v>
      </c>
      <c r="R562" s="24" t="s">
        <v>6975</v>
      </c>
      <c r="S562" s="25">
        <v>-1.120041</v>
      </c>
      <c r="T562" s="25">
        <v>43.239313</v>
      </c>
      <c r="U562" s="24">
        <v>30</v>
      </c>
      <c r="V562" s="3">
        <v>652638</v>
      </c>
      <c r="W562" s="3">
        <v>4789106</v>
      </c>
      <c r="X562" s="25">
        <v>-3.840519</v>
      </c>
      <c r="Y562" s="25">
        <v>48.043718</v>
      </c>
      <c r="Z562" s="18"/>
      <c r="AA562" s="19" t="s">
        <v>5138</v>
      </c>
      <c r="AB562" s="11">
        <v>2019</v>
      </c>
      <c r="AC562" s="60">
        <v>43525</v>
      </c>
      <c r="AD562" s="54"/>
      <c r="AE562" s="61" t="s">
        <v>1902</v>
      </c>
    </row>
    <row r="563" spans="1:31" ht="22.5">
      <c r="A563" s="18" t="s">
        <v>1903</v>
      </c>
      <c r="B563" s="62" t="s">
        <v>1904</v>
      </c>
      <c r="C563" s="62" t="s">
        <v>1905</v>
      </c>
      <c r="D563" s="62" t="s">
        <v>1906</v>
      </c>
      <c r="E563" s="24">
        <v>403</v>
      </c>
      <c r="F563" s="24">
        <v>69</v>
      </c>
      <c r="G563" s="24" t="s">
        <v>1898</v>
      </c>
      <c r="H563" s="24" t="s">
        <v>1907</v>
      </c>
      <c r="I563" s="24" t="s">
        <v>1908</v>
      </c>
      <c r="J563" s="44" t="str">
        <f>HYPERLINK("https://www.centcols.org/util/geo/visuGen.php?code=FR-64-0403","FR-64-0403")</f>
        <v>FR-64-0403</v>
      </c>
      <c r="K563" s="19"/>
      <c r="L563" s="62" t="s">
        <v>5257</v>
      </c>
      <c r="M563" s="24">
        <v>1</v>
      </c>
      <c r="N563" s="24">
        <v>10</v>
      </c>
      <c r="O563" s="18"/>
      <c r="P563" s="19"/>
      <c r="Q563" s="24" t="s">
        <v>1909</v>
      </c>
      <c r="R563" s="24" t="s">
        <v>6976</v>
      </c>
      <c r="S563" s="25">
        <v>-1.189424</v>
      </c>
      <c r="T563" s="25">
        <v>43.253574</v>
      </c>
      <c r="U563" s="24">
        <v>30</v>
      </c>
      <c r="V563" s="3">
        <v>646970</v>
      </c>
      <c r="W563" s="3">
        <v>4790566</v>
      </c>
      <c r="X563" s="25">
        <v>-3.917608</v>
      </c>
      <c r="Y563" s="25">
        <v>48.059564</v>
      </c>
      <c r="Z563" s="18"/>
      <c r="AA563" s="19" t="s">
        <v>5138</v>
      </c>
      <c r="AB563" s="11">
        <v>2019</v>
      </c>
      <c r="AC563" s="60">
        <v>43525</v>
      </c>
      <c r="AD563" s="54"/>
      <c r="AE563" s="61" t="s">
        <v>1910</v>
      </c>
    </row>
    <row r="564" spans="1:31" ht="12.75">
      <c r="A564" s="4" t="s">
        <v>1911</v>
      </c>
      <c r="B564" s="1" t="s">
        <v>1912</v>
      </c>
      <c r="C564" s="1" t="s">
        <v>1913</v>
      </c>
      <c r="D564" s="1" t="s">
        <v>1914</v>
      </c>
      <c r="E564" s="2">
        <v>470</v>
      </c>
      <c r="F564" s="2">
        <v>69</v>
      </c>
      <c r="G564" s="3" t="s">
        <v>1915</v>
      </c>
      <c r="H564" s="3" t="s">
        <v>1916</v>
      </c>
      <c r="I564" s="3" t="s">
        <v>1917</v>
      </c>
      <c r="J564" s="44" t="str">
        <f>HYPERLINK("https://www.centcols.org/util/geo/visuGen.php?code=FR-64-0487","FR-64-0487")</f>
        <v>FR-64-0487</v>
      </c>
      <c r="K564" s="3"/>
      <c r="L564" s="1" t="s">
        <v>5138</v>
      </c>
      <c r="M564" s="8">
        <v>35</v>
      </c>
      <c r="N564" s="8">
        <v>10</v>
      </c>
      <c r="O564" s="4"/>
      <c r="P564" s="3"/>
      <c r="Q564" s="3" t="s">
        <v>1918</v>
      </c>
      <c r="R564" s="3" t="s">
        <v>1919</v>
      </c>
      <c r="S564" s="25">
        <v>-1.1150092305246158</v>
      </c>
      <c r="T564" s="25">
        <v>43.15950639432744</v>
      </c>
      <c r="U564" s="2">
        <v>30</v>
      </c>
      <c r="V564" s="3">
        <v>653246</v>
      </c>
      <c r="W564" s="3">
        <v>4780253</v>
      </c>
      <c r="X564" s="25">
        <v>-3.8349305339549584</v>
      </c>
      <c r="Y564" s="25">
        <v>47.95504257536147</v>
      </c>
      <c r="Z564" s="6"/>
      <c r="AA564" s="7" t="s">
        <v>5176</v>
      </c>
      <c r="AB564" s="8" t="s">
        <v>6740</v>
      </c>
      <c r="AC564" s="9"/>
      <c r="AD564" s="10">
        <v>1</v>
      </c>
      <c r="AE564" s="31" t="s">
        <v>1920</v>
      </c>
    </row>
    <row r="565" spans="1:31" ht="12.75">
      <c r="A565" s="18" t="s">
        <v>1921</v>
      </c>
      <c r="B565" s="62" t="s">
        <v>5262</v>
      </c>
      <c r="C565" s="62" t="s">
        <v>1922</v>
      </c>
      <c r="D565" s="62" t="s">
        <v>1922</v>
      </c>
      <c r="E565" s="24">
        <v>494</v>
      </c>
      <c r="F565" s="24">
        <v>69</v>
      </c>
      <c r="G565" s="24" t="s">
        <v>1898</v>
      </c>
      <c r="H565" s="24" t="s">
        <v>1923</v>
      </c>
      <c r="I565" s="24" t="s">
        <v>1924</v>
      </c>
      <c r="J565" s="44" t="str">
        <f>HYPERLINK("https://www.centcols.org/util/geo/visuGen.php?code=FR-64-0494","FR-64-0494")</f>
        <v>FR-64-0494</v>
      </c>
      <c r="K565" s="19"/>
      <c r="L565" s="62" t="s">
        <v>5257</v>
      </c>
      <c r="M565" s="24">
        <v>1</v>
      </c>
      <c r="N565" s="24">
        <v>10</v>
      </c>
      <c r="O565" s="18"/>
      <c r="P565" s="19"/>
      <c r="Q565" s="24" t="s">
        <v>1925</v>
      </c>
      <c r="R565" s="24" t="s">
        <v>6977</v>
      </c>
      <c r="S565" s="25">
        <v>-1.179924</v>
      </c>
      <c r="T565" s="25">
        <v>43.247912</v>
      </c>
      <c r="U565" s="24">
        <v>30</v>
      </c>
      <c r="V565" s="3">
        <v>647755</v>
      </c>
      <c r="W565" s="3">
        <v>4789954</v>
      </c>
      <c r="X565" s="25">
        <v>-3.907054</v>
      </c>
      <c r="Y565" s="25">
        <v>48.053273</v>
      </c>
      <c r="Z565" s="18"/>
      <c r="AA565" s="19" t="s">
        <v>5138</v>
      </c>
      <c r="AB565" s="11">
        <v>2019</v>
      </c>
      <c r="AC565" s="60">
        <v>43525</v>
      </c>
      <c r="AD565" s="54"/>
      <c r="AE565" s="61" t="s">
        <v>4396</v>
      </c>
    </row>
    <row r="566" spans="1:31" ht="12.75">
      <c r="A566" s="4" t="s">
        <v>1926</v>
      </c>
      <c r="B566" s="1" t="s">
        <v>3184</v>
      </c>
      <c r="C566" s="1" t="s">
        <v>1927</v>
      </c>
      <c r="D566" s="1" t="s">
        <v>1928</v>
      </c>
      <c r="E566" s="2">
        <v>629</v>
      </c>
      <c r="F566" s="2">
        <v>70</v>
      </c>
      <c r="G566" s="3" t="s">
        <v>1886</v>
      </c>
      <c r="H566" s="3" t="s">
        <v>1929</v>
      </c>
      <c r="I566" s="3" t="s">
        <v>1930</v>
      </c>
      <c r="J566" s="44" t="str">
        <f>HYPERLINK("https://www.centcols.org/util/geo/visuGen.php?code=FR-64-0629a","FR-64-0629a")</f>
        <v>FR-64-0629a</v>
      </c>
      <c r="K566" s="3"/>
      <c r="L566" s="1"/>
      <c r="M566" s="8">
        <v>99</v>
      </c>
      <c r="N566" s="8">
        <v>20</v>
      </c>
      <c r="O566" s="4"/>
      <c r="P566" s="3"/>
      <c r="Q566" s="3" t="s">
        <v>1931</v>
      </c>
      <c r="R566" s="3" t="s">
        <v>1932</v>
      </c>
      <c r="S566" s="25">
        <v>-0.2679740109761829</v>
      </c>
      <c r="T566" s="25">
        <v>43.06944009384856</v>
      </c>
      <c r="U566" s="2">
        <v>30</v>
      </c>
      <c r="V566" s="3">
        <v>722438</v>
      </c>
      <c r="W566" s="3">
        <v>4772149</v>
      </c>
      <c r="X566" s="25">
        <v>-2.8938228742063634</v>
      </c>
      <c r="Y566" s="25">
        <v>47.854963053676975</v>
      </c>
      <c r="Z566" s="6"/>
      <c r="AA566" s="7" t="s">
        <v>5138</v>
      </c>
      <c r="AB566" s="8" t="s">
        <v>6200</v>
      </c>
      <c r="AC566" s="9">
        <v>41386</v>
      </c>
      <c r="AD566" s="10">
        <v>30</v>
      </c>
      <c r="AE566" s="31" t="s">
        <v>1933</v>
      </c>
    </row>
    <row r="567" spans="1:31" ht="12.75">
      <c r="A567" s="4" t="s">
        <v>1934</v>
      </c>
      <c r="B567" s="1" t="s">
        <v>1935</v>
      </c>
      <c r="C567" s="1" t="s">
        <v>1936</v>
      </c>
      <c r="D567" s="1" t="s">
        <v>1937</v>
      </c>
      <c r="E567" s="2">
        <v>650</v>
      </c>
      <c r="F567" s="2">
        <v>69</v>
      </c>
      <c r="G567" s="3" t="s">
        <v>1938</v>
      </c>
      <c r="H567" s="3" t="s">
        <v>1939</v>
      </c>
      <c r="I567" s="3" t="s">
        <v>1940</v>
      </c>
      <c r="J567" s="44" t="str">
        <f>HYPERLINK("https://www.centcols.org/util/geo/visuGen.php?code=FR-64-0650","FR-64-0650")</f>
        <v>FR-64-0650</v>
      </c>
      <c r="K567" s="3"/>
      <c r="L567" s="1"/>
      <c r="M567" s="8">
        <v>99</v>
      </c>
      <c r="N567" s="8">
        <v>20</v>
      </c>
      <c r="O567" s="4"/>
      <c r="P567" s="3"/>
      <c r="Q567" s="3" t="s">
        <v>1941</v>
      </c>
      <c r="R567" s="3" t="s">
        <v>1942</v>
      </c>
      <c r="S567" s="25">
        <v>-0.6877159289496397</v>
      </c>
      <c r="T567" s="25">
        <v>43.03273800043097</v>
      </c>
      <c r="U567" s="2">
        <v>30</v>
      </c>
      <c r="V567" s="3">
        <v>688374</v>
      </c>
      <c r="W567" s="3">
        <v>4767045</v>
      </c>
      <c r="X567" s="25">
        <v>-3.3601819801797115</v>
      </c>
      <c r="Y567" s="25">
        <v>47.814185120927306</v>
      </c>
      <c r="Z567" s="6"/>
      <c r="AA567" s="7" t="s">
        <v>5176</v>
      </c>
      <c r="AB567" s="8" t="s">
        <v>6728</v>
      </c>
      <c r="AC567" s="9"/>
      <c r="AD567" s="10">
        <v>1</v>
      </c>
      <c r="AE567" s="31" t="s">
        <v>1943</v>
      </c>
    </row>
    <row r="568" spans="1:31" ht="12.75">
      <c r="A568" s="4" t="s">
        <v>1944</v>
      </c>
      <c r="B568" s="1" t="s">
        <v>5656</v>
      </c>
      <c r="C568" s="1" t="s">
        <v>1945</v>
      </c>
      <c r="D568" s="1" t="s">
        <v>1946</v>
      </c>
      <c r="E568" s="2">
        <v>870</v>
      </c>
      <c r="F568" s="2">
        <v>69</v>
      </c>
      <c r="G568" s="3" t="s">
        <v>1938</v>
      </c>
      <c r="H568" s="3" t="s">
        <v>1947</v>
      </c>
      <c r="I568" s="3" t="s">
        <v>1948</v>
      </c>
      <c r="J568" s="44" t="str">
        <f>HYPERLINK("https://www.centcols.org/util/geo/visuGen.php?code=FR-64-0870","FR-64-0870")</f>
        <v>FR-64-0870</v>
      </c>
      <c r="K568" s="3"/>
      <c r="L568" s="1" t="s">
        <v>5176</v>
      </c>
      <c r="M568" s="8">
        <v>99</v>
      </c>
      <c r="N568" s="8">
        <v>15</v>
      </c>
      <c r="O568" s="4"/>
      <c r="P568" s="3"/>
      <c r="Q568" s="3" t="s">
        <v>1949</v>
      </c>
      <c r="R568" s="3" t="s">
        <v>1950</v>
      </c>
      <c r="S568" s="25">
        <v>-0.7149111726018281</v>
      </c>
      <c r="T568" s="25">
        <v>43.05149441067397</v>
      </c>
      <c r="U568" s="2">
        <v>30</v>
      </c>
      <c r="V568" s="3">
        <v>686102</v>
      </c>
      <c r="W568" s="3">
        <v>4769067</v>
      </c>
      <c r="X568" s="25">
        <v>-3.3904204032222487</v>
      </c>
      <c r="Y568" s="25">
        <v>47.835</v>
      </c>
      <c r="Z568" s="6"/>
      <c r="AA568" s="7" t="s">
        <v>5176</v>
      </c>
      <c r="AB568" s="8" t="s">
        <v>5802</v>
      </c>
      <c r="AC568" s="9"/>
      <c r="AD568" s="10">
        <v>1</v>
      </c>
      <c r="AE568" s="31" t="s">
        <v>4196</v>
      </c>
    </row>
    <row r="569" spans="1:31" ht="33.75">
      <c r="A569" s="4" t="s">
        <v>1951</v>
      </c>
      <c r="B569" s="1" t="s">
        <v>1952</v>
      </c>
      <c r="C569" s="1" t="s">
        <v>1953</v>
      </c>
      <c r="D569" s="1" t="s">
        <v>1954</v>
      </c>
      <c r="E569" s="2">
        <v>934</v>
      </c>
      <c r="F569" s="2">
        <v>69</v>
      </c>
      <c r="G569" s="3" t="s">
        <v>1915</v>
      </c>
      <c r="H569" s="3" t="s">
        <v>1955</v>
      </c>
      <c r="I569" s="3" t="s">
        <v>1956</v>
      </c>
      <c r="J569" s="44" t="str">
        <f>HYPERLINK("https://www.centcols.org/util/geo/visuGen.php?code=FR-64-0934","FR-64-0934")</f>
        <v>FR-64-0934</v>
      </c>
      <c r="K569" s="3"/>
      <c r="L569" s="1"/>
      <c r="M569" s="8">
        <v>99</v>
      </c>
      <c r="N569" s="8">
        <v>20</v>
      </c>
      <c r="O569" s="4"/>
      <c r="P569" s="3"/>
      <c r="Q569" s="3" t="s">
        <v>1957</v>
      </c>
      <c r="R569" s="3" t="s">
        <v>1958</v>
      </c>
      <c r="S569" s="25">
        <v>-1.182594</v>
      </c>
      <c r="T569" s="25">
        <v>43.033672</v>
      </c>
      <c r="U569" s="2">
        <v>30</v>
      </c>
      <c r="V569" s="3">
        <v>648055</v>
      </c>
      <c r="W569" s="3">
        <v>4766157</v>
      </c>
      <c r="X569" s="25">
        <v>-3.910024</v>
      </c>
      <c r="Y569" s="25">
        <v>47.815225</v>
      </c>
      <c r="Z569" s="6"/>
      <c r="AA569" s="7" t="s">
        <v>5138</v>
      </c>
      <c r="AB569" s="8">
        <v>2017</v>
      </c>
      <c r="AC569" s="9"/>
      <c r="AD569" s="10"/>
      <c r="AE569" s="31" t="s">
        <v>1959</v>
      </c>
    </row>
    <row r="570" spans="1:31" ht="12.75">
      <c r="A570" s="4" t="s">
        <v>1960</v>
      </c>
      <c r="B570" s="1" t="s">
        <v>1961</v>
      </c>
      <c r="C570" s="1" t="s">
        <v>1962</v>
      </c>
      <c r="D570" s="1" t="s">
        <v>1963</v>
      </c>
      <c r="E570" s="2">
        <v>996</v>
      </c>
      <c r="F570" s="2">
        <v>69</v>
      </c>
      <c r="G570" s="3" t="s">
        <v>1964</v>
      </c>
      <c r="H570" s="3" t="s">
        <v>1965</v>
      </c>
      <c r="I570" s="3" t="s">
        <v>1966</v>
      </c>
      <c r="J570" s="44" t="str">
        <f>HYPERLINK("https://www.centcols.org/util/geo/visuGen.php?code=FR-64-0996","FR-64-0996")</f>
        <v>FR-64-0996</v>
      </c>
      <c r="K570" s="3"/>
      <c r="L570" s="1" t="s">
        <v>5074</v>
      </c>
      <c r="M570" s="8">
        <v>2</v>
      </c>
      <c r="N570" s="8">
        <v>15</v>
      </c>
      <c r="O570" s="4"/>
      <c r="P570" s="3"/>
      <c r="Q570" s="3" t="s">
        <v>1967</v>
      </c>
      <c r="R570" s="3" t="s">
        <v>1968</v>
      </c>
      <c r="S570" s="25">
        <v>-0.41067963720262457</v>
      </c>
      <c r="T570" s="25">
        <v>43.05239640120488</v>
      </c>
      <c r="U570" s="2">
        <v>30</v>
      </c>
      <c r="V570" s="3">
        <v>710877</v>
      </c>
      <c r="W570" s="3">
        <v>4769887</v>
      </c>
      <c r="X570" s="25">
        <v>-3.052397488350159</v>
      </c>
      <c r="Y570" s="25">
        <v>47.836</v>
      </c>
      <c r="Z570" s="6"/>
      <c r="AA570" s="7" t="s">
        <v>5176</v>
      </c>
      <c r="AB570" s="8" t="s">
        <v>5802</v>
      </c>
      <c r="AC570" s="9"/>
      <c r="AD570" s="10">
        <v>1</v>
      </c>
      <c r="AE570" s="31" t="s">
        <v>1969</v>
      </c>
    </row>
    <row r="571" spans="1:31" ht="12.75">
      <c r="A571" s="4" t="s">
        <v>1970</v>
      </c>
      <c r="B571" s="1" t="s">
        <v>5574</v>
      </c>
      <c r="C571" s="1" t="s">
        <v>1971</v>
      </c>
      <c r="D571" s="1" t="s">
        <v>1972</v>
      </c>
      <c r="E571" s="2">
        <v>1120</v>
      </c>
      <c r="F571" s="2">
        <v>69</v>
      </c>
      <c r="G571" s="3" t="s">
        <v>1973</v>
      </c>
      <c r="H571" s="3" t="s">
        <v>1974</v>
      </c>
      <c r="I571" s="3" t="s">
        <v>1975</v>
      </c>
      <c r="J571" s="44" t="str">
        <f>HYPERLINK("https://www.centcols.org/util/geo/visuGen.php?code=FR-64-1165","FR-64-1165")</f>
        <v>FR-64-1165</v>
      </c>
      <c r="K571" s="3"/>
      <c r="L571" s="1"/>
      <c r="M571" s="8">
        <v>99</v>
      </c>
      <c r="N571" s="8">
        <v>20</v>
      </c>
      <c r="O571" s="4"/>
      <c r="P571" s="3"/>
      <c r="Q571" s="3" t="s">
        <v>1976</v>
      </c>
      <c r="R571" s="3" t="s">
        <v>1977</v>
      </c>
      <c r="S571" s="25">
        <v>-0.6737061031359807</v>
      </c>
      <c r="T571" s="25">
        <v>42.9852114150898</v>
      </c>
      <c r="U571" s="2">
        <v>30</v>
      </c>
      <c r="V571" s="3">
        <v>689662</v>
      </c>
      <c r="W571" s="3">
        <v>4761798</v>
      </c>
      <c r="X571" s="25">
        <v>-3.3446168307843918</v>
      </c>
      <c r="Y571" s="25">
        <v>47.761377100975714</v>
      </c>
      <c r="Z571" s="6"/>
      <c r="AA571" s="7" t="s">
        <v>5176</v>
      </c>
      <c r="AB571" s="8" t="s">
        <v>6710</v>
      </c>
      <c r="AC571" s="9"/>
      <c r="AD571" s="10">
        <v>1</v>
      </c>
      <c r="AE571" s="31" t="s">
        <v>1978</v>
      </c>
    </row>
    <row r="572" spans="1:31" ht="12.75">
      <c r="A572" s="4" t="s">
        <v>1979</v>
      </c>
      <c r="B572" s="1" t="s">
        <v>5574</v>
      </c>
      <c r="C572" s="1" t="s">
        <v>1980</v>
      </c>
      <c r="D572" s="1" t="s">
        <v>1981</v>
      </c>
      <c r="E572" s="2">
        <v>1300</v>
      </c>
      <c r="F572" s="2">
        <v>70</v>
      </c>
      <c r="G572" s="3" t="s">
        <v>1886</v>
      </c>
      <c r="H572" s="3" t="s">
        <v>1982</v>
      </c>
      <c r="I572" s="3" t="s">
        <v>1983</v>
      </c>
      <c r="J572" s="44" t="str">
        <f>HYPERLINK("https://www.centcols.org/util/geo/visuGen.php?code=FR-64-1300","FR-64-1300")</f>
        <v>FR-64-1300</v>
      </c>
      <c r="K572" s="3"/>
      <c r="L572" s="1" t="s">
        <v>5176</v>
      </c>
      <c r="M572" s="8">
        <v>99</v>
      </c>
      <c r="N572" s="8">
        <v>15</v>
      </c>
      <c r="O572" s="4"/>
      <c r="P572" s="3"/>
      <c r="Q572" s="3" t="s">
        <v>1984</v>
      </c>
      <c r="R572" s="3" t="s">
        <v>1985</v>
      </c>
      <c r="S572" s="25">
        <v>-0.35174190915544473</v>
      </c>
      <c r="T572" s="25">
        <v>43.0498411785015</v>
      </c>
      <c r="U572" s="2">
        <v>30</v>
      </c>
      <c r="V572" s="3">
        <v>715686</v>
      </c>
      <c r="W572" s="3">
        <v>4769754</v>
      </c>
      <c r="X572" s="25">
        <v>-2.9868940501334533</v>
      </c>
      <c r="Y572" s="25">
        <v>47.83318695108884</v>
      </c>
      <c r="Z572" s="6"/>
      <c r="AA572" s="7" t="s">
        <v>5176</v>
      </c>
      <c r="AB572" s="8" t="s">
        <v>5802</v>
      </c>
      <c r="AC572" s="9"/>
      <c r="AD572" s="10">
        <v>1</v>
      </c>
      <c r="AE572" s="31" t="s">
        <v>4196</v>
      </c>
    </row>
    <row r="573" spans="1:31" ht="12.75">
      <c r="A573" s="4" t="s">
        <v>1986</v>
      </c>
      <c r="B573" s="1" t="s">
        <v>1987</v>
      </c>
      <c r="C573" s="1" t="s">
        <v>3901</v>
      </c>
      <c r="D573" s="1" t="s">
        <v>1988</v>
      </c>
      <c r="E573" s="2">
        <v>1260</v>
      </c>
      <c r="F573" s="2">
        <v>69</v>
      </c>
      <c r="G573" s="3" t="s">
        <v>1964</v>
      </c>
      <c r="H573" s="3" t="s">
        <v>1989</v>
      </c>
      <c r="I573" s="3" t="s">
        <v>1990</v>
      </c>
      <c r="J573" s="44" t="str">
        <f>HYPERLINK("https://www.centcols.org/util/geo/visuGen.php?code=FR-64-1305","FR-64-1305")</f>
        <v>FR-64-1305</v>
      </c>
      <c r="K573" s="3"/>
      <c r="L573" s="1"/>
      <c r="M573" s="8">
        <v>99</v>
      </c>
      <c r="N573" s="8">
        <v>20</v>
      </c>
      <c r="O573" s="4"/>
      <c r="P573" s="3"/>
      <c r="Q573" s="3" t="s">
        <v>1991</v>
      </c>
      <c r="R573" s="3" t="s">
        <v>1992</v>
      </c>
      <c r="S573" s="25">
        <v>-0.5061082657740139</v>
      </c>
      <c r="T573" s="25">
        <v>43.058557690135075</v>
      </c>
      <c r="U573" s="2">
        <v>30</v>
      </c>
      <c r="V573" s="3">
        <v>703084</v>
      </c>
      <c r="W573" s="3">
        <v>4770336</v>
      </c>
      <c r="X573" s="25">
        <v>-3.1584040347170124</v>
      </c>
      <c r="Y573" s="25">
        <v>47.842873167700866</v>
      </c>
      <c r="Z573" s="6"/>
      <c r="AA573" s="7" t="s">
        <v>5176</v>
      </c>
      <c r="AB573" s="8" t="s">
        <v>6710</v>
      </c>
      <c r="AC573" s="9"/>
      <c r="AD573" s="10">
        <v>1</v>
      </c>
      <c r="AE573" s="31" t="s">
        <v>1993</v>
      </c>
    </row>
    <row r="574" spans="1:31" ht="12.75">
      <c r="A574" s="4" t="s">
        <v>1994</v>
      </c>
      <c r="B574" s="1" t="s">
        <v>5815</v>
      </c>
      <c r="C574" s="1" t="s">
        <v>1995</v>
      </c>
      <c r="D574" s="1" t="s">
        <v>1996</v>
      </c>
      <c r="E574" s="2">
        <v>1323</v>
      </c>
      <c r="F574" s="2">
        <v>70</v>
      </c>
      <c r="G574" s="3" t="s">
        <v>1886</v>
      </c>
      <c r="H574" s="3" t="s">
        <v>1997</v>
      </c>
      <c r="I574" s="3" t="s">
        <v>1998</v>
      </c>
      <c r="J574" s="44" t="str">
        <f>HYPERLINK("https://www.centcols.org/util/geo/visuGen.php?code=FR-64-1323","FR-64-1323")</f>
        <v>FR-64-1323</v>
      </c>
      <c r="K574" s="3"/>
      <c r="L574" s="1" t="s">
        <v>5746</v>
      </c>
      <c r="M574" s="8">
        <v>99</v>
      </c>
      <c r="N574" s="8">
        <v>20</v>
      </c>
      <c r="O574" s="4"/>
      <c r="P574" s="3" t="s">
        <v>1999</v>
      </c>
      <c r="Q574" s="3" t="s">
        <v>2000</v>
      </c>
      <c r="R574" s="3" t="s">
        <v>2001</v>
      </c>
      <c r="S574" s="25">
        <v>-0.197945</v>
      </c>
      <c r="T574" s="25">
        <v>43.071586</v>
      </c>
      <c r="U574" s="2">
        <v>30</v>
      </c>
      <c r="V574" s="3">
        <v>728132</v>
      </c>
      <c r="W574" s="3">
        <v>4772576</v>
      </c>
      <c r="X574" s="25">
        <v>-2.816016</v>
      </c>
      <c r="Y574" s="25">
        <v>47.857347</v>
      </c>
      <c r="Z574" s="6"/>
      <c r="AA574" s="7" t="s">
        <v>5176</v>
      </c>
      <c r="AB574" s="8">
        <v>2016</v>
      </c>
      <c r="AC574" s="9"/>
      <c r="AD574" s="10"/>
      <c r="AE574" s="31" t="s">
        <v>2002</v>
      </c>
    </row>
    <row r="575" spans="1:31" ht="12.75">
      <c r="A575" s="4" t="s">
        <v>2003</v>
      </c>
      <c r="B575" s="1" t="s">
        <v>2004</v>
      </c>
      <c r="C575" s="1" t="s">
        <v>2005</v>
      </c>
      <c r="D575" s="1" t="s">
        <v>2006</v>
      </c>
      <c r="E575" s="2">
        <v>1473</v>
      </c>
      <c r="F575" s="2">
        <v>69</v>
      </c>
      <c r="G575" s="3" t="s">
        <v>2007</v>
      </c>
      <c r="H575" s="3" t="s">
        <v>2008</v>
      </c>
      <c r="I575" s="3" t="s">
        <v>2009</v>
      </c>
      <c r="J575" s="44" t="str">
        <f>HYPERLINK("https://www.centcols.org/util/geo/visuGen.php?code=FR-64-1473b","FR-64-1473b")</f>
        <v>FR-64-1473b</v>
      </c>
      <c r="K575" s="3"/>
      <c r="L575" s="1" t="s">
        <v>5257</v>
      </c>
      <c r="M575" s="8">
        <v>1</v>
      </c>
      <c r="N575" s="8">
        <v>10</v>
      </c>
      <c r="O575" s="4"/>
      <c r="P575" s="3"/>
      <c r="Q575" s="3" t="s">
        <v>2010</v>
      </c>
      <c r="R575" s="3" t="s">
        <v>2011</v>
      </c>
      <c r="S575" s="25">
        <v>-0.808035</v>
      </c>
      <c r="T575" s="25">
        <v>43.020083</v>
      </c>
      <c r="U575" s="2">
        <v>30</v>
      </c>
      <c r="V575" s="3">
        <v>678608</v>
      </c>
      <c r="W575" s="3">
        <v>4765376</v>
      </c>
      <c r="X575" s="25">
        <v>-3.493864</v>
      </c>
      <c r="Y575" s="25">
        <v>47.800124</v>
      </c>
      <c r="Z575" s="6"/>
      <c r="AA575" s="7" t="s">
        <v>5176</v>
      </c>
      <c r="AB575" s="8">
        <v>2016</v>
      </c>
      <c r="AC575" s="9"/>
      <c r="AD575" s="10"/>
      <c r="AE575" s="31" t="s">
        <v>2012</v>
      </c>
    </row>
    <row r="576" spans="1:31" ht="22.5">
      <c r="A576" s="18" t="s">
        <v>2013</v>
      </c>
      <c r="B576" s="20" t="s">
        <v>2014</v>
      </c>
      <c r="C576" s="20" t="s">
        <v>2015</v>
      </c>
      <c r="D576" s="20" t="s">
        <v>2016</v>
      </c>
      <c r="E576" s="19">
        <v>1525</v>
      </c>
      <c r="F576" s="14">
        <v>69</v>
      </c>
      <c r="G576" s="19" t="s">
        <v>1973</v>
      </c>
      <c r="H576" s="19" t="s">
        <v>2017</v>
      </c>
      <c r="I576" s="19" t="s">
        <v>2018</v>
      </c>
      <c r="J576" s="44" t="str">
        <f>HYPERLINK("https://www.centcols.org/util/geo/visuGen.php?code=FR-64-1525","FR-64-1525")</f>
        <v>FR-64-1525</v>
      </c>
      <c r="K576" s="19"/>
      <c r="L576" s="20"/>
      <c r="M576" s="19">
        <v>99</v>
      </c>
      <c r="N576" s="19">
        <v>20</v>
      </c>
      <c r="O576" s="18"/>
      <c r="P576" s="19"/>
      <c r="Q576" s="19" t="s">
        <v>2019</v>
      </c>
      <c r="R576" s="19" t="s">
        <v>2020</v>
      </c>
      <c r="S576" s="59">
        <v>-0.565176</v>
      </c>
      <c r="T576" s="59">
        <v>43.012888</v>
      </c>
      <c r="U576" s="19">
        <v>30</v>
      </c>
      <c r="V576" s="3">
        <v>698421</v>
      </c>
      <c r="W576" s="3">
        <v>4765123</v>
      </c>
      <c r="X576" s="59">
        <v>-3.224032</v>
      </c>
      <c r="Y576" s="59">
        <v>47.792129</v>
      </c>
      <c r="Z576" s="18"/>
      <c r="AA576" s="19" t="s">
        <v>5138</v>
      </c>
      <c r="AB576" s="11">
        <v>2018</v>
      </c>
      <c r="AC576" s="12">
        <v>43250</v>
      </c>
      <c r="AD576" s="54"/>
      <c r="AE576" s="23" t="s">
        <v>5149</v>
      </c>
    </row>
    <row r="577" spans="1:31" ht="33.75">
      <c r="A577" s="4" t="s">
        <v>2021</v>
      </c>
      <c r="B577" s="1" t="s">
        <v>2022</v>
      </c>
      <c r="C577" s="1" t="s">
        <v>2023</v>
      </c>
      <c r="D577" s="1" t="s">
        <v>2024</v>
      </c>
      <c r="E577" s="2">
        <v>1635</v>
      </c>
      <c r="F577" s="2">
        <v>70</v>
      </c>
      <c r="G577" s="3" t="s">
        <v>2025</v>
      </c>
      <c r="H577" s="3" t="s">
        <v>2026</v>
      </c>
      <c r="I577" s="3" t="s">
        <v>2027</v>
      </c>
      <c r="J577" s="44" t="str">
        <f>HYPERLINK("https://www.centcols.org/util/geo/visuGen.php?code=FR-64-1635a","FR-64-1635a")</f>
        <v>FR-64-1635a</v>
      </c>
      <c r="K577" s="3"/>
      <c r="L577" s="1" t="s">
        <v>5726</v>
      </c>
      <c r="M577" s="8">
        <v>99</v>
      </c>
      <c r="N577" s="8">
        <v>15</v>
      </c>
      <c r="O577" s="4"/>
      <c r="P577" s="3" t="s">
        <v>2028</v>
      </c>
      <c r="Q577" s="3" t="s">
        <v>2029</v>
      </c>
      <c r="R577" s="3" t="s">
        <v>2030</v>
      </c>
      <c r="S577" s="25">
        <v>-0.5997919289497097</v>
      </c>
      <c r="T577" s="25">
        <v>42.80900344064819</v>
      </c>
      <c r="U577" s="2">
        <v>30</v>
      </c>
      <c r="V577" s="3">
        <v>696246</v>
      </c>
      <c r="W577" s="3">
        <v>4742400</v>
      </c>
      <c r="X577" s="25">
        <v>-3.2624963456412255</v>
      </c>
      <c r="Y577" s="25">
        <v>47.565587498136246</v>
      </c>
      <c r="Z577" s="6"/>
      <c r="AA577" s="7" t="s">
        <v>5176</v>
      </c>
      <c r="AB577" s="8" t="s">
        <v>5911</v>
      </c>
      <c r="AC577" s="9"/>
      <c r="AD577" s="10">
        <v>1</v>
      </c>
      <c r="AE577" s="31" t="s">
        <v>2031</v>
      </c>
    </row>
    <row r="578" spans="1:31" ht="12.75">
      <c r="A578" s="4" t="s">
        <v>2032</v>
      </c>
      <c r="B578" s="1" t="s">
        <v>2033</v>
      </c>
      <c r="C578" s="1" t="s">
        <v>2034</v>
      </c>
      <c r="D578" s="1" t="s">
        <v>2035</v>
      </c>
      <c r="E578" s="2">
        <v>1750</v>
      </c>
      <c r="F578" s="2">
        <v>69</v>
      </c>
      <c r="G578" s="3" t="s">
        <v>2025</v>
      </c>
      <c r="H578" s="3" t="s">
        <v>2036</v>
      </c>
      <c r="I578" s="3" t="s">
        <v>2037</v>
      </c>
      <c r="J578" s="44" t="str">
        <f>HYPERLINK("https://www.centcols.org/util/geo/visuGen.php?code=FR-64-1750","FR-64-1750")</f>
        <v>FR-64-1750</v>
      </c>
      <c r="K578" s="3"/>
      <c r="L578" s="1" t="s">
        <v>5746</v>
      </c>
      <c r="M578" s="8">
        <v>99</v>
      </c>
      <c r="N578" s="8">
        <v>20</v>
      </c>
      <c r="O578" s="4"/>
      <c r="P578" s="3" t="s">
        <v>2028</v>
      </c>
      <c r="Q578" s="3" t="s">
        <v>2038</v>
      </c>
      <c r="R578" s="3" t="s">
        <v>2039</v>
      </c>
      <c r="S578" s="25">
        <v>-0.5693022768841167</v>
      </c>
      <c r="T578" s="25">
        <v>42.782401651010595</v>
      </c>
      <c r="U578" s="2">
        <v>30</v>
      </c>
      <c r="V578" s="3">
        <v>698825</v>
      </c>
      <c r="W578" s="3">
        <v>4739517</v>
      </c>
      <c r="X578" s="25">
        <v>-3.228642305124334</v>
      </c>
      <c r="Y578" s="25">
        <v>47.536</v>
      </c>
      <c r="Z578" s="6"/>
      <c r="AA578" s="7" t="s">
        <v>5176</v>
      </c>
      <c r="AB578" s="8" t="s">
        <v>5802</v>
      </c>
      <c r="AC578" s="9"/>
      <c r="AD578" s="10">
        <v>1</v>
      </c>
      <c r="AE578" s="31" t="s">
        <v>4196</v>
      </c>
    </row>
    <row r="579" spans="1:31" ht="12.75">
      <c r="A579" s="4" t="s">
        <v>2040</v>
      </c>
      <c r="B579" s="1" t="s">
        <v>5128</v>
      </c>
      <c r="C579" s="1" t="s">
        <v>2041</v>
      </c>
      <c r="D579" s="1" t="s">
        <v>2042</v>
      </c>
      <c r="E579" s="2">
        <v>1765</v>
      </c>
      <c r="F579" s="2">
        <v>69</v>
      </c>
      <c r="G579" s="3" t="s">
        <v>2043</v>
      </c>
      <c r="H579" s="3" t="s">
        <v>2044</v>
      </c>
      <c r="I579" s="3" t="s">
        <v>2045</v>
      </c>
      <c r="J579" s="44" t="str">
        <f>HYPERLINK("https://www.centcols.org/util/geo/visuGen.php?code=FR-64-1765","FR-64-1765")</f>
        <v>FR-64-1765</v>
      </c>
      <c r="K579" s="3"/>
      <c r="L579" s="1" t="s">
        <v>2046</v>
      </c>
      <c r="M579" s="8">
        <v>99</v>
      </c>
      <c r="N579" s="8">
        <v>15</v>
      </c>
      <c r="O579" s="4"/>
      <c r="P579" s="3"/>
      <c r="Q579" s="3" t="s">
        <v>2047</v>
      </c>
      <c r="R579" s="3" t="s">
        <v>2048</v>
      </c>
      <c r="S579" s="25">
        <v>-0.7756437415649885</v>
      </c>
      <c r="T579" s="25">
        <v>42.970196609017016</v>
      </c>
      <c r="U579" s="2">
        <v>30</v>
      </c>
      <c r="V579" s="3">
        <v>681395</v>
      </c>
      <c r="W579" s="3">
        <v>4759906</v>
      </c>
      <c r="X579" s="25">
        <v>-3.4578763479398122</v>
      </c>
      <c r="Y579" s="25">
        <v>47.744694188134304</v>
      </c>
      <c r="Z579" s="6"/>
      <c r="AA579" s="7" t="s">
        <v>5138</v>
      </c>
      <c r="AB579" s="8" t="s">
        <v>5571</v>
      </c>
      <c r="AC579" s="9">
        <v>41224</v>
      </c>
      <c r="AD579" s="10"/>
      <c r="AE579" s="31" t="s">
        <v>2049</v>
      </c>
    </row>
    <row r="580" spans="1:31" ht="12.75">
      <c r="A580" s="18" t="s">
        <v>2050</v>
      </c>
      <c r="B580" s="20" t="s">
        <v>5128</v>
      </c>
      <c r="C580" s="20" t="s">
        <v>2051</v>
      </c>
      <c r="D580" s="20" t="s">
        <v>2052</v>
      </c>
      <c r="E580" s="19">
        <v>1795</v>
      </c>
      <c r="F580" s="14">
        <v>69</v>
      </c>
      <c r="G580" s="19" t="s">
        <v>2053</v>
      </c>
      <c r="H580" s="19" t="s">
        <v>2054</v>
      </c>
      <c r="I580" s="19" t="s">
        <v>2055</v>
      </c>
      <c r="J580" s="44" t="str">
        <f>HYPERLINK("https://www.centcols.org/util/geo/visuGen.php?code=FR-64-1795a","FR-64-1795a")</f>
        <v>FR-64-1795a</v>
      </c>
      <c r="K580" s="19"/>
      <c r="L580" s="20"/>
      <c r="M580" s="19">
        <v>99</v>
      </c>
      <c r="N580" s="19">
        <v>20</v>
      </c>
      <c r="O580" s="18"/>
      <c r="P580" s="19"/>
      <c r="Q580" s="19" t="s">
        <v>2056</v>
      </c>
      <c r="R580" s="19" t="s">
        <v>2057</v>
      </c>
      <c r="S580" s="59">
        <v>-0.520313</v>
      </c>
      <c r="T580" s="59">
        <v>42.902827</v>
      </c>
      <c r="U580" s="19">
        <v>30</v>
      </c>
      <c r="V580" s="3">
        <v>702438</v>
      </c>
      <c r="W580" s="3">
        <v>4753007</v>
      </c>
      <c r="X580" s="59">
        <v>-3.174188</v>
      </c>
      <c r="Y580" s="59">
        <v>47.669837</v>
      </c>
      <c r="Z580" s="23"/>
      <c r="AA580" s="11" t="s">
        <v>5176</v>
      </c>
      <c r="AB580" s="11">
        <v>2018</v>
      </c>
      <c r="AC580" s="11"/>
      <c r="AD580" s="11"/>
      <c r="AE580" s="23" t="s">
        <v>2058</v>
      </c>
    </row>
    <row r="581" spans="1:31" ht="12.75">
      <c r="A581" s="4" t="s">
        <v>2059</v>
      </c>
      <c r="B581" s="1" t="s">
        <v>4061</v>
      </c>
      <c r="C581" s="1" t="s">
        <v>2060</v>
      </c>
      <c r="D581" s="1" t="s">
        <v>2061</v>
      </c>
      <c r="E581" s="2">
        <v>1810</v>
      </c>
      <c r="F581" s="2">
        <v>69</v>
      </c>
      <c r="G581" s="3" t="s">
        <v>2053</v>
      </c>
      <c r="H581" s="3" t="s">
        <v>2062</v>
      </c>
      <c r="I581" s="3" t="s">
        <v>2063</v>
      </c>
      <c r="J581" s="44" t="str">
        <f>HYPERLINK("https://www.centcols.org/util/geo/visuGen.php?code=FR-64-1810","FR-64-1810")</f>
        <v>FR-64-1810</v>
      </c>
      <c r="K581" s="3"/>
      <c r="L581" s="1"/>
      <c r="M581" s="8">
        <v>99</v>
      </c>
      <c r="N581" s="8">
        <v>0</v>
      </c>
      <c r="O581" s="4"/>
      <c r="P581" s="3"/>
      <c r="Q581" s="3" t="s">
        <v>2064</v>
      </c>
      <c r="R581" s="3" t="s">
        <v>2065</v>
      </c>
      <c r="S581" s="25">
        <v>-0.5275654712775387</v>
      </c>
      <c r="T581" s="25">
        <v>42.92572999520574</v>
      </c>
      <c r="U581" s="2">
        <v>30</v>
      </c>
      <c r="V581" s="3">
        <v>701771</v>
      </c>
      <c r="W581" s="3">
        <v>4755533</v>
      </c>
      <c r="X581" s="25">
        <v>-3.182246360203678</v>
      </c>
      <c r="Y581" s="25">
        <v>47.69528506116359</v>
      </c>
      <c r="Z581" s="6"/>
      <c r="AA581" s="7" t="s">
        <v>5176</v>
      </c>
      <c r="AB581" s="8" t="s">
        <v>6110</v>
      </c>
      <c r="AC581" s="9"/>
      <c r="AD581" s="10">
        <v>1</v>
      </c>
      <c r="AE581" s="31" t="s">
        <v>4196</v>
      </c>
    </row>
    <row r="582" spans="1:31" ht="12.75">
      <c r="A582" s="18" t="s">
        <v>2066</v>
      </c>
      <c r="B582" s="20" t="s">
        <v>5128</v>
      </c>
      <c r="C582" s="20" t="s">
        <v>2067</v>
      </c>
      <c r="D582" s="20" t="s">
        <v>2068</v>
      </c>
      <c r="E582" s="19">
        <v>2055</v>
      </c>
      <c r="F582" s="14">
        <v>69</v>
      </c>
      <c r="G582" s="19" t="s">
        <v>2053</v>
      </c>
      <c r="H582" s="19" t="s">
        <v>2069</v>
      </c>
      <c r="I582" s="19" t="s">
        <v>2070</v>
      </c>
      <c r="J582" s="44" t="str">
        <f>HYPERLINK("https://www.centcols.org/util/geo/visuGen.php?code=FR-64-2055b","FR-64-2055b")</f>
        <v>FR-64-2055b</v>
      </c>
      <c r="K582" s="19"/>
      <c r="L582" s="20"/>
      <c r="M582" s="19">
        <v>99</v>
      </c>
      <c r="N582" s="19">
        <v>20</v>
      </c>
      <c r="O582" s="18"/>
      <c r="P582" s="19"/>
      <c r="Q582" s="19" t="s">
        <v>2071</v>
      </c>
      <c r="R582" s="19" t="s">
        <v>2072</v>
      </c>
      <c r="S582" s="59">
        <v>-0.530001</v>
      </c>
      <c r="T582" s="59">
        <v>42.911548</v>
      </c>
      <c r="U582" s="19">
        <v>30</v>
      </c>
      <c r="V582" s="3">
        <v>701619</v>
      </c>
      <c r="W582" s="3">
        <v>4753952</v>
      </c>
      <c r="X582" s="59">
        <v>-3.184953</v>
      </c>
      <c r="Y582" s="59">
        <v>47.679527</v>
      </c>
      <c r="Z582" s="23"/>
      <c r="AA582" s="11" t="s">
        <v>5176</v>
      </c>
      <c r="AB582" s="11">
        <v>2018</v>
      </c>
      <c r="AC582" s="11"/>
      <c r="AD582" s="11"/>
      <c r="AE582" s="23" t="s">
        <v>2073</v>
      </c>
    </row>
    <row r="583" spans="1:31" ht="12.75">
      <c r="A583" s="4" t="s">
        <v>2074</v>
      </c>
      <c r="B583" s="1" t="s">
        <v>5128</v>
      </c>
      <c r="C583" s="1" t="s">
        <v>2075</v>
      </c>
      <c r="D583" s="1" t="s">
        <v>2076</v>
      </c>
      <c r="E583" s="2">
        <v>415</v>
      </c>
      <c r="F583" s="2">
        <v>70</v>
      </c>
      <c r="G583" s="3" t="s">
        <v>2077</v>
      </c>
      <c r="H583" s="3" t="s">
        <v>2078</v>
      </c>
      <c r="I583" s="3" t="s">
        <v>2079</v>
      </c>
      <c r="J583" s="44" t="str">
        <f>HYPERLINK("https://www.centcols.org/util/geo/visuGen.php?code=FR-65-0440","FR-65-0440")</f>
        <v>FR-65-0440</v>
      </c>
      <c r="K583" s="3"/>
      <c r="L583" s="1" t="s">
        <v>5138</v>
      </c>
      <c r="M583" s="8">
        <v>35</v>
      </c>
      <c r="N583" s="8">
        <v>10</v>
      </c>
      <c r="O583" s="4"/>
      <c r="P583" s="3"/>
      <c r="Q583" s="3" t="s">
        <v>2080</v>
      </c>
      <c r="R583" s="3" t="s">
        <v>2081</v>
      </c>
      <c r="S583" s="25">
        <v>0.050821</v>
      </c>
      <c r="T583" s="25">
        <v>43.116286</v>
      </c>
      <c r="U583" s="2">
        <v>31</v>
      </c>
      <c r="V583" s="3">
        <v>260064</v>
      </c>
      <c r="W583" s="3">
        <v>4777951</v>
      </c>
      <c r="X583" s="25">
        <v>-2.539623</v>
      </c>
      <c r="Y583" s="25">
        <v>47.907011</v>
      </c>
      <c r="Z583" s="6"/>
      <c r="AA583" s="7" t="s">
        <v>5138</v>
      </c>
      <c r="AB583" s="8">
        <v>2015</v>
      </c>
      <c r="AC583" s="9">
        <v>42297</v>
      </c>
      <c r="AD583" s="10"/>
      <c r="AE583" s="31" t="s">
        <v>2082</v>
      </c>
    </row>
    <row r="584" spans="1:31" ht="12.75">
      <c r="A584" s="4" t="s">
        <v>2083</v>
      </c>
      <c r="B584" s="1" t="s">
        <v>2084</v>
      </c>
      <c r="C584" s="1" t="s">
        <v>2085</v>
      </c>
      <c r="D584" s="1" t="s">
        <v>2086</v>
      </c>
      <c r="E584" s="2">
        <v>445</v>
      </c>
      <c r="F584" s="2">
        <v>70</v>
      </c>
      <c r="G584" s="3" t="s">
        <v>2087</v>
      </c>
      <c r="H584" s="3" t="s">
        <v>2088</v>
      </c>
      <c r="I584" s="3" t="s">
        <v>2089</v>
      </c>
      <c r="J584" s="44" t="str">
        <f>HYPERLINK("https://www.centcols.org/util/geo/visuGen.php?code=FR-65-0445","FR-65-0445")</f>
        <v>FR-65-0445</v>
      </c>
      <c r="K584" s="3" t="s">
        <v>2090</v>
      </c>
      <c r="L584" s="1" t="s">
        <v>2091</v>
      </c>
      <c r="M584" s="8">
        <v>0</v>
      </c>
      <c r="N584" s="8">
        <v>0</v>
      </c>
      <c r="O584" s="4"/>
      <c r="P584" s="3"/>
      <c r="Q584" s="3" t="s">
        <v>2092</v>
      </c>
      <c r="R584" s="3" t="s">
        <v>2093</v>
      </c>
      <c r="S584" s="25">
        <v>-0.026505</v>
      </c>
      <c r="T584" s="25">
        <v>43.124215</v>
      </c>
      <c r="U584" s="2">
        <v>30</v>
      </c>
      <c r="V584" s="3">
        <v>741883</v>
      </c>
      <c r="W584" s="3">
        <v>4778901</v>
      </c>
      <c r="X584" s="25">
        <v>-2.625536</v>
      </c>
      <c r="Y584" s="25">
        <v>47.915822</v>
      </c>
      <c r="Z584" s="6"/>
      <c r="AA584" s="7" t="s">
        <v>5176</v>
      </c>
      <c r="AB584" s="8" t="s">
        <v>5571</v>
      </c>
      <c r="AC584" s="9"/>
      <c r="AD584" s="10">
        <v>1</v>
      </c>
      <c r="AE584" s="31" t="s">
        <v>4538</v>
      </c>
    </row>
    <row r="585" spans="1:31" ht="12.75">
      <c r="A585" s="18" t="s">
        <v>2094</v>
      </c>
      <c r="B585" s="62" t="s">
        <v>5262</v>
      </c>
      <c r="C585" s="62" t="s">
        <v>2095</v>
      </c>
      <c r="D585" s="62" t="s">
        <v>2095</v>
      </c>
      <c r="E585" s="24">
        <v>521</v>
      </c>
      <c r="F585" s="24">
        <v>70</v>
      </c>
      <c r="G585" s="24" t="s">
        <v>2087</v>
      </c>
      <c r="H585" s="24" t="s">
        <v>2096</v>
      </c>
      <c r="I585" s="24" t="s">
        <v>2097</v>
      </c>
      <c r="J585" s="44" t="str">
        <f>HYPERLINK("https://www.centcols.org/util/geo/visuGen.php?code=FR-65-0521","FR-65-0521")</f>
        <v>FR-65-0521</v>
      </c>
      <c r="K585" s="24" t="s">
        <v>2098</v>
      </c>
      <c r="L585" s="62" t="s">
        <v>2099</v>
      </c>
      <c r="M585" s="24">
        <v>0</v>
      </c>
      <c r="N585" s="24">
        <v>0</v>
      </c>
      <c r="O585" s="18"/>
      <c r="P585" s="19"/>
      <c r="Q585" s="24" t="s">
        <v>2100</v>
      </c>
      <c r="R585" s="24" t="s">
        <v>6978</v>
      </c>
      <c r="S585" s="25">
        <v>-0.0762</v>
      </c>
      <c r="T585" s="25">
        <v>43.020184</v>
      </c>
      <c r="U585" s="24">
        <v>30</v>
      </c>
      <c r="V585" s="3">
        <v>738243</v>
      </c>
      <c r="W585" s="3">
        <v>4767205</v>
      </c>
      <c r="X585" s="25">
        <v>-2.680752</v>
      </c>
      <c r="Y585" s="25">
        <v>47.800231</v>
      </c>
      <c r="Z585" s="18"/>
      <c r="AA585" s="19" t="s">
        <v>5138</v>
      </c>
      <c r="AB585" s="11">
        <v>2019</v>
      </c>
      <c r="AC585" s="60">
        <v>43525</v>
      </c>
      <c r="AD585" s="54"/>
      <c r="AE585" s="61" t="s">
        <v>2101</v>
      </c>
    </row>
    <row r="586" spans="1:31" ht="12.75">
      <c r="A586" s="4" t="s">
        <v>2102</v>
      </c>
      <c r="B586" s="1" t="s">
        <v>5589</v>
      </c>
      <c r="C586" s="1" t="s">
        <v>3157</v>
      </c>
      <c r="D586" s="1" t="s">
        <v>2103</v>
      </c>
      <c r="E586" s="2">
        <v>550</v>
      </c>
      <c r="F586" s="2">
        <v>70</v>
      </c>
      <c r="G586" s="3" t="s">
        <v>2104</v>
      </c>
      <c r="H586" s="3" t="s">
        <v>2105</v>
      </c>
      <c r="I586" s="3" t="s">
        <v>2106</v>
      </c>
      <c r="J586" s="44" t="str">
        <f>HYPERLINK("https://www.centcols.org/util/geo/visuGen.php?code=FR-65-0550","FR-65-0550")</f>
        <v>FR-65-0550</v>
      </c>
      <c r="K586" s="3"/>
      <c r="L586" s="1"/>
      <c r="M586" s="8">
        <v>99</v>
      </c>
      <c r="N586" s="8">
        <v>20</v>
      </c>
      <c r="O586" s="4"/>
      <c r="P586" s="3"/>
      <c r="Q586" s="3" t="s">
        <v>2107</v>
      </c>
      <c r="R586" s="3" t="s">
        <v>2108</v>
      </c>
      <c r="S586" s="25">
        <v>0.402983</v>
      </c>
      <c r="T586" s="25">
        <v>43.05798</v>
      </c>
      <c r="U586" s="2">
        <v>31</v>
      </c>
      <c r="V586" s="3">
        <v>288516</v>
      </c>
      <c r="W586" s="3">
        <v>4770527</v>
      </c>
      <c r="X586" s="25">
        <v>-2.148354</v>
      </c>
      <c r="Y586" s="25">
        <v>47.842223</v>
      </c>
      <c r="Z586" s="6"/>
      <c r="AA586" s="7" t="s">
        <v>5138</v>
      </c>
      <c r="AB586" s="8">
        <v>2016</v>
      </c>
      <c r="AC586" s="9">
        <v>42593</v>
      </c>
      <c r="AD586" s="10"/>
      <c r="AE586" s="31" t="s">
        <v>2109</v>
      </c>
    </row>
    <row r="587" spans="1:31" ht="12.75">
      <c r="A587" s="4" t="s">
        <v>2110</v>
      </c>
      <c r="B587" s="1" t="s">
        <v>5262</v>
      </c>
      <c r="C587" s="1" t="s">
        <v>2111</v>
      </c>
      <c r="D587" s="1" t="s">
        <v>2111</v>
      </c>
      <c r="E587" s="2">
        <v>556</v>
      </c>
      <c r="F587" s="2">
        <v>69</v>
      </c>
      <c r="G587" s="3" t="s">
        <v>2087</v>
      </c>
      <c r="H587" s="3" t="s">
        <v>2112</v>
      </c>
      <c r="I587" s="3" t="s">
        <v>2113</v>
      </c>
      <c r="J587" s="44" t="str">
        <f>HYPERLINK("https://www.centcols.org/util/geo/visuGen.php?code=FR-65-0556","FR-65-0556")</f>
        <v>FR-65-0556</v>
      </c>
      <c r="K587" s="3" t="s">
        <v>2114</v>
      </c>
      <c r="L587" s="1" t="s">
        <v>2091</v>
      </c>
      <c r="M587" s="8">
        <v>0</v>
      </c>
      <c r="N587" s="8">
        <v>0</v>
      </c>
      <c r="O587" s="4"/>
      <c r="P587" s="3"/>
      <c r="Q587" s="3" t="s">
        <v>2115</v>
      </c>
      <c r="R587" s="3" t="s">
        <v>2116</v>
      </c>
      <c r="S587" s="25">
        <v>-0.005137587385991328</v>
      </c>
      <c r="T587" s="25">
        <v>43.11966371561351</v>
      </c>
      <c r="U587" s="2">
        <v>30</v>
      </c>
      <c r="V587" s="3">
        <v>743639</v>
      </c>
      <c r="W587" s="3">
        <v>4778458</v>
      </c>
      <c r="X587" s="25">
        <v>-2.601796163735654</v>
      </c>
      <c r="Y587" s="25">
        <v>47.91076467425746</v>
      </c>
      <c r="Z587" s="6"/>
      <c r="AA587" s="7" t="s">
        <v>5138</v>
      </c>
      <c r="AB587" s="8">
        <v>2018</v>
      </c>
      <c r="AC587" s="57">
        <v>43199</v>
      </c>
      <c r="AD587" s="10"/>
      <c r="AE587" s="31" t="s">
        <v>5149</v>
      </c>
    </row>
    <row r="588" spans="1:31" ht="12.75">
      <c r="A588" s="4" t="s">
        <v>2117</v>
      </c>
      <c r="B588" s="1" t="s">
        <v>5262</v>
      </c>
      <c r="C588" s="1" t="s">
        <v>3157</v>
      </c>
      <c r="D588" s="1" t="s">
        <v>3157</v>
      </c>
      <c r="E588" s="2">
        <v>560</v>
      </c>
      <c r="F588" s="2">
        <v>70</v>
      </c>
      <c r="G588" s="3" t="s">
        <v>2118</v>
      </c>
      <c r="H588" s="3" t="s">
        <v>2119</v>
      </c>
      <c r="I588" s="3" t="s">
        <v>2120</v>
      </c>
      <c r="J588" s="44" t="str">
        <f>HYPERLINK("https://www.centcols.org/util/geo/visuGen.php?code=FR-65-0560","FR-65-0560")</f>
        <v>FR-65-0560</v>
      </c>
      <c r="K588" s="3" t="s">
        <v>2121</v>
      </c>
      <c r="L588" s="1" t="s">
        <v>5157</v>
      </c>
      <c r="M588" s="8">
        <v>0</v>
      </c>
      <c r="N588" s="8">
        <v>0</v>
      </c>
      <c r="O588" s="4"/>
      <c r="P588" s="3"/>
      <c r="Q588" s="3" t="s">
        <v>2122</v>
      </c>
      <c r="R588" s="3" t="s">
        <v>2123</v>
      </c>
      <c r="S588" s="25">
        <v>-0.0995805964924412</v>
      </c>
      <c r="T588" s="25">
        <v>42.988757564833335</v>
      </c>
      <c r="U588" s="2">
        <v>30</v>
      </c>
      <c r="V588" s="3">
        <v>736459</v>
      </c>
      <c r="W588" s="3">
        <v>4763649</v>
      </c>
      <c r="X588" s="25">
        <v>-2.706729359119725</v>
      </c>
      <c r="Y588" s="25">
        <v>47.76531309819349</v>
      </c>
      <c r="Z588" s="6"/>
      <c r="AA588" s="7" t="s">
        <v>5138</v>
      </c>
      <c r="AB588" s="8">
        <v>2008</v>
      </c>
      <c r="AC588" s="9"/>
      <c r="AD588" s="10">
        <v>1</v>
      </c>
      <c r="AE588" s="31" t="s">
        <v>2124</v>
      </c>
    </row>
    <row r="589" spans="1:31" ht="12.75">
      <c r="A589" s="4" t="s">
        <v>2125</v>
      </c>
      <c r="B589" s="1" t="s">
        <v>2126</v>
      </c>
      <c r="C589" s="1" t="s">
        <v>2111</v>
      </c>
      <c r="D589" s="1" t="s">
        <v>2127</v>
      </c>
      <c r="E589" s="2">
        <v>577</v>
      </c>
      <c r="F589" s="2">
        <v>69</v>
      </c>
      <c r="G589" s="3" t="s">
        <v>2077</v>
      </c>
      <c r="H589" s="3" t="s">
        <v>2128</v>
      </c>
      <c r="I589" s="3" t="s">
        <v>2129</v>
      </c>
      <c r="J589" s="44" t="str">
        <f>HYPERLINK("https://www.centcols.org/util/geo/visuGen.php?code=FR-65-0577","FR-65-0577")</f>
        <v>FR-65-0577</v>
      </c>
      <c r="K589" s="3"/>
      <c r="L589" s="1"/>
      <c r="M589" s="8">
        <v>99</v>
      </c>
      <c r="N589" s="8">
        <v>20</v>
      </c>
      <c r="O589" s="4"/>
      <c r="P589" s="3"/>
      <c r="Q589" s="3" t="s">
        <v>2130</v>
      </c>
      <c r="R589" s="3" t="s">
        <v>2131</v>
      </c>
      <c r="S589" s="25">
        <v>0.019560215</v>
      </c>
      <c r="T589" s="25">
        <v>43.12601801</v>
      </c>
      <c r="U589" s="2">
        <v>31</v>
      </c>
      <c r="V589" s="3">
        <v>257559</v>
      </c>
      <c r="W589" s="3">
        <v>4779122</v>
      </c>
      <c r="X589" s="25">
        <v>-2.574355</v>
      </c>
      <c r="Y589" s="25">
        <v>47.917825</v>
      </c>
      <c r="Z589" s="6"/>
      <c r="AA589" s="7" t="s">
        <v>5138</v>
      </c>
      <c r="AB589" s="8">
        <v>2018</v>
      </c>
      <c r="AC589" s="57">
        <v>43199</v>
      </c>
      <c r="AD589" s="10"/>
      <c r="AE589" s="31" t="s">
        <v>5149</v>
      </c>
    </row>
    <row r="590" spans="1:31" ht="12.75">
      <c r="A590" s="18" t="s">
        <v>2132</v>
      </c>
      <c r="B590" s="20" t="s">
        <v>5262</v>
      </c>
      <c r="C590" s="20" t="s">
        <v>2133</v>
      </c>
      <c r="D590" s="20" t="s">
        <v>2133</v>
      </c>
      <c r="E590" s="19">
        <v>763</v>
      </c>
      <c r="F590" s="14">
        <v>70</v>
      </c>
      <c r="G590" s="19" t="s">
        <v>3167</v>
      </c>
      <c r="H590" s="19" t="s">
        <v>2134</v>
      </c>
      <c r="I590" s="19" t="s">
        <v>2135</v>
      </c>
      <c r="J590" s="44" t="str">
        <f>HYPERLINK("https://www.centcols.org/util/geo/visuGen.php?code=FR-65-0763","FR-65-0763")</f>
        <v>FR-65-0763</v>
      </c>
      <c r="K590" s="19"/>
      <c r="L590" s="20"/>
      <c r="M590" s="19">
        <v>99</v>
      </c>
      <c r="N590" s="19">
        <v>20</v>
      </c>
      <c r="O590" s="18"/>
      <c r="P590" s="19"/>
      <c r="Q590" s="19" t="s">
        <v>2136</v>
      </c>
      <c r="R590" s="19" t="s">
        <v>2137</v>
      </c>
      <c r="S590" s="59">
        <v>0.589754</v>
      </c>
      <c r="T590" s="59">
        <v>42.948633</v>
      </c>
      <c r="U590" s="19">
        <v>31</v>
      </c>
      <c r="V590" s="3">
        <v>303377</v>
      </c>
      <c r="W590" s="3">
        <v>4757929</v>
      </c>
      <c r="X590" s="59">
        <v>-1.940844</v>
      </c>
      <c r="Y590" s="59">
        <v>47.720723</v>
      </c>
      <c r="Z590" s="61"/>
      <c r="AA590" s="7" t="s">
        <v>5138</v>
      </c>
      <c r="AB590" s="54">
        <v>2018</v>
      </c>
      <c r="AC590" s="57">
        <v>43199</v>
      </c>
      <c r="AD590" s="54"/>
      <c r="AE590" s="23" t="s">
        <v>2138</v>
      </c>
    </row>
    <row r="591" spans="1:31" ht="22.5">
      <c r="A591" s="4" t="s">
        <v>2139</v>
      </c>
      <c r="B591" s="1" t="s">
        <v>2140</v>
      </c>
      <c r="C591" s="1" t="s">
        <v>2141</v>
      </c>
      <c r="D591" s="1" t="s">
        <v>2142</v>
      </c>
      <c r="E591" s="2">
        <v>895</v>
      </c>
      <c r="F591" s="2">
        <v>70</v>
      </c>
      <c r="G591" s="3" t="s">
        <v>2143</v>
      </c>
      <c r="H591" s="3" t="s">
        <v>2144</v>
      </c>
      <c r="I591" s="3" t="s">
        <v>2145</v>
      </c>
      <c r="J591" s="44" t="str">
        <f>HYPERLINK("https://www.centcols.org/util/geo/visuGen.php?code=FR-65-0895","FR-65-0895")</f>
        <v>FR-65-0895</v>
      </c>
      <c r="K591" s="3"/>
      <c r="L591" s="1"/>
      <c r="M591" s="8">
        <v>99</v>
      </c>
      <c r="N591" s="8">
        <v>20</v>
      </c>
      <c r="O591" s="4"/>
      <c r="P591" s="3"/>
      <c r="Q591" s="3" t="s">
        <v>2146</v>
      </c>
      <c r="R591" s="3" t="s">
        <v>2147</v>
      </c>
      <c r="S591" s="25">
        <v>0.44957</v>
      </c>
      <c r="T591" s="25">
        <v>43.016523</v>
      </c>
      <c r="U591" s="2">
        <v>31</v>
      </c>
      <c r="V591" s="3">
        <v>292170</v>
      </c>
      <c r="W591" s="3">
        <v>4765806</v>
      </c>
      <c r="X591" s="25">
        <v>-2.096594</v>
      </c>
      <c r="Y591" s="25">
        <v>47.796159</v>
      </c>
      <c r="Z591" s="6"/>
      <c r="AA591" s="7" t="s">
        <v>5138</v>
      </c>
      <c r="AB591" s="8">
        <v>2017</v>
      </c>
      <c r="AC591" s="9"/>
      <c r="AD591" s="10"/>
      <c r="AE591" s="31" t="s">
        <v>2148</v>
      </c>
    </row>
    <row r="592" spans="1:31" ht="12.75">
      <c r="A592" s="4" t="s">
        <v>2149</v>
      </c>
      <c r="B592" s="1" t="s">
        <v>6046</v>
      </c>
      <c r="C592" s="1" t="s">
        <v>2150</v>
      </c>
      <c r="D592" s="1" t="s">
        <v>2151</v>
      </c>
      <c r="E592" s="2">
        <v>932</v>
      </c>
      <c r="F592" s="2">
        <v>70</v>
      </c>
      <c r="G592" s="3" t="s">
        <v>2118</v>
      </c>
      <c r="H592" s="3" t="s">
        <v>2152</v>
      </c>
      <c r="I592" s="3" t="s">
        <v>2153</v>
      </c>
      <c r="J592" s="44" t="str">
        <f>HYPERLINK("https://www.centcols.org/util/geo/visuGen.php?code=FR-65-0932","FR-65-0932")</f>
        <v>FR-65-0932</v>
      </c>
      <c r="K592" s="3" t="s">
        <v>2154</v>
      </c>
      <c r="L592" s="1" t="s">
        <v>2155</v>
      </c>
      <c r="M592" s="8">
        <v>0</v>
      </c>
      <c r="N592" s="8">
        <v>0</v>
      </c>
      <c r="O592" s="4"/>
      <c r="P592" s="3"/>
      <c r="Q592" s="3" t="s">
        <v>2156</v>
      </c>
      <c r="R592" s="3" t="s">
        <v>2157</v>
      </c>
      <c r="S592" s="25">
        <v>-0.13319285751343837</v>
      </c>
      <c r="T592" s="25">
        <v>43.00277620003451</v>
      </c>
      <c r="U592" s="2">
        <v>30</v>
      </c>
      <c r="V592" s="3">
        <v>733665</v>
      </c>
      <c r="W592" s="3">
        <v>4765112</v>
      </c>
      <c r="X592" s="25">
        <v>-2.7440742760957963</v>
      </c>
      <c r="Y592" s="25">
        <v>47.78088989149084</v>
      </c>
      <c r="Z592" s="6"/>
      <c r="AA592" s="7" t="s">
        <v>5176</v>
      </c>
      <c r="AB592" s="8" t="s">
        <v>2158</v>
      </c>
      <c r="AC592" s="9"/>
      <c r="AD592" s="10">
        <v>1</v>
      </c>
      <c r="AE592" s="31" t="s">
        <v>2159</v>
      </c>
    </row>
    <row r="593" spans="1:31" ht="12.75">
      <c r="A593" s="4" t="s">
        <v>2160</v>
      </c>
      <c r="B593" s="1" t="s">
        <v>5731</v>
      </c>
      <c r="C593" s="1" t="s">
        <v>2161</v>
      </c>
      <c r="D593" s="1" t="s">
        <v>2162</v>
      </c>
      <c r="E593" s="2">
        <v>934</v>
      </c>
      <c r="F593" s="2">
        <v>70</v>
      </c>
      <c r="G593" s="3" t="s">
        <v>2163</v>
      </c>
      <c r="H593" s="3" t="s">
        <v>2164</v>
      </c>
      <c r="I593" s="3" t="s">
        <v>2165</v>
      </c>
      <c r="J593" s="44" t="str">
        <f>HYPERLINK("https://www.centcols.org/util/geo/visuGen.php?code=FR-65-0934","FR-65-0934")</f>
        <v>FR-65-0934</v>
      </c>
      <c r="K593" s="3" t="s">
        <v>2166</v>
      </c>
      <c r="L593" s="1" t="s">
        <v>2167</v>
      </c>
      <c r="M593" s="8">
        <v>0</v>
      </c>
      <c r="N593" s="8">
        <v>0</v>
      </c>
      <c r="O593" s="4"/>
      <c r="P593" s="3"/>
      <c r="Q593" s="3" t="s">
        <v>2168</v>
      </c>
      <c r="R593" s="3" t="s">
        <v>2169</v>
      </c>
      <c r="S593" s="25">
        <v>0.230377</v>
      </c>
      <c r="T593" s="25">
        <v>42.964903</v>
      </c>
      <c r="U593" s="2">
        <v>31</v>
      </c>
      <c r="V593" s="3">
        <v>274118</v>
      </c>
      <c r="W593" s="3">
        <v>4760640</v>
      </c>
      <c r="X593" s="25">
        <v>-2.340129</v>
      </c>
      <c r="Y593" s="25">
        <v>47.738805</v>
      </c>
      <c r="Z593" s="6"/>
      <c r="AA593" s="7" t="s">
        <v>5138</v>
      </c>
      <c r="AB593" s="8">
        <v>2016</v>
      </c>
      <c r="AC593" s="9">
        <v>42593</v>
      </c>
      <c r="AD593" s="10"/>
      <c r="AE593" s="31" t="s">
        <v>2170</v>
      </c>
    </row>
    <row r="594" spans="1:31" ht="12.75">
      <c r="A594" s="4" t="s">
        <v>2171</v>
      </c>
      <c r="B594" s="1" t="s">
        <v>3184</v>
      </c>
      <c r="C594" s="1" t="s">
        <v>2172</v>
      </c>
      <c r="D594" s="1" t="s">
        <v>2173</v>
      </c>
      <c r="E594" s="2">
        <v>940</v>
      </c>
      <c r="F594" s="2">
        <v>70</v>
      </c>
      <c r="G594" s="3" t="s">
        <v>3167</v>
      </c>
      <c r="H594" s="3" t="s">
        <v>2174</v>
      </c>
      <c r="I594" s="3" t="s">
        <v>2175</v>
      </c>
      <c r="J594" s="44" t="str">
        <f>HYPERLINK("https://www.centcols.org/util/geo/visuGen.php?code=FR-65-0940","FR-65-0940")</f>
        <v>FR-65-0940</v>
      </c>
      <c r="K594" s="3"/>
      <c r="L594" s="1" t="s">
        <v>5138</v>
      </c>
      <c r="M594" s="8">
        <v>35</v>
      </c>
      <c r="N594" s="8">
        <v>10</v>
      </c>
      <c r="O594" s="4"/>
      <c r="P594" s="3"/>
      <c r="Q594" s="3" t="s">
        <v>2176</v>
      </c>
      <c r="R594" s="3" t="s">
        <v>2177</v>
      </c>
      <c r="S594" s="25">
        <v>0.621547</v>
      </c>
      <c r="T594" s="25">
        <v>42.949636</v>
      </c>
      <c r="U594" s="2">
        <v>31</v>
      </c>
      <c r="V594" s="3">
        <v>305974</v>
      </c>
      <c r="W594" s="3">
        <v>4757967</v>
      </c>
      <c r="X594" s="25">
        <v>-1.905521</v>
      </c>
      <c r="Y594" s="25">
        <v>47.721837</v>
      </c>
      <c r="Z594" s="6"/>
      <c r="AA594" s="7" t="s">
        <v>5138</v>
      </c>
      <c r="AB594" s="8">
        <v>2015</v>
      </c>
      <c r="AC594" s="9">
        <v>42297</v>
      </c>
      <c r="AD594" s="10"/>
      <c r="AE594" s="31" t="s">
        <v>2178</v>
      </c>
    </row>
    <row r="595" spans="1:31" ht="12.75">
      <c r="A595" s="4" t="s">
        <v>2179</v>
      </c>
      <c r="B595" s="1" t="s">
        <v>5574</v>
      </c>
      <c r="C595" s="1" t="s">
        <v>2180</v>
      </c>
      <c r="D595" s="1" t="s">
        <v>2181</v>
      </c>
      <c r="E595" s="2">
        <v>1000</v>
      </c>
      <c r="F595" s="2">
        <v>70</v>
      </c>
      <c r="G595" s="3" t="s">
        <v>2182</v>
      </c>
      <c r="H595" s="3" t="s">
        <v>2183</v>
      </c>
      <c r="I595" s="3" t="s">
        <v>2184</v>
      </c>
      <c r="J595" s="44" t="str">
        <f>HYPERLINK("https://www.centcols.org/util/geo/visuGen.php?code=FR-65-0990","FR-65-0990")</f>
        <v>FR-65-0990</v>
      </c>
      <c r="K595" s="3"/>
      <c r="L595" s="1" t="s">
        <v>6207</v>
      </c>
      <c r="M595" s="8">
        <v>35</v>
      </c>
      <c r="N595" s="8">
        <v>10</v>
      </c>
      <c r="O595" s="4"/>
      <c r="P595" s="3"/>
      <c r="Q595" s="3" t="s">
        <v>2185</v>
      </c>
      <c r="R595" s="3" t="s">
        <v>2186</v>
      </c>
      <c r="S595" s="25">
        <v>-0.2899519289496996</v>
      </c>
      <c r="T595" s="25">
        <v>42.9756229976405</v>
      </c>
      <c r="U595" s="2">
        <v>30</v>
      </c>
      <c r="V595" s="3">
        <v>720985</v>
      </c>
      <c r="W595" s="3">
        <v>4761672</v>
      </c>
      <c r="X595" s="25">
        <v>-2.9182428856137173</v>
      </c>
      <c r="Y595" s="25">
        <v>47.75072080564508</v>
      </c>
      <c r="Z595" s="6"/>
      <c r="AA595" s="7" t="s">
        <v>5176</v>
      </c>
      <c r="AB595" s="8" t="s">
        <v>2187</v>
      </c>
      <c r="AC595" s="9"/>
      <c r="AD595" s="10">
        <v>1</v>
      </c>
      <c r="AE595" s="31" t="s">
        <v>4196</v>
      </c>
    </row>
    <row r="596" spans="1:31" ht="12.75">
      <c r="A596" s="4" t="s">
        <v>2188</v>
      </c>
      <c r="B596" s="1" t="s">
        <v>5128</v>
      </c>
      <c r="C596" s="1" t="s">
        <v>2189</v>
      </c>
      <c r="D596" s="1" t="s">
        <v>2190</v>
      </c>
      <c r="E596" s="2">
        <v>1110</v>
      </c>
      <c r="F596" s="2">
        <v>70</v>
      </c>
      <c r="G596" s="3" t="s">
        <v>2143</v>
      </c>
      <c r="H596" s="3" t="s">
        <v>2191</v>
      </c>
      <c r="I596" s="3" t="s">
        <v>2192</v>
      </c>
      <c r="J596" s="44" t="str">
        <f>HYPERLINK("https://www.centcols.org/util/geo/visuGen.php?code=FR-65-1110","FR-65-1110")</f>
        <v>FR-65-1110</v>
      </c>
      <c r="K596" s="3" t="s">
        <v>2193</v>
      </c>
      <c r="L596" s="1" t="s">
        <v>6306</v>
      </c>
      <c r="M596" s="8">
        <v>0</v>
      </c>
      <c r="N596" s="8">
        <v>0</v>
      </c>
      <c r="O596" s="4"/>
      <c r="P596" s="3"/>
      <c r="Q596" s="3" t="s">
        <v>2194</v>
      </c>
      <c r="R596" s="3" t="s">
        <v>2195</v>
      </c>
      <c r="S596" s="25">
        <v>0.393762</v>
      </c>
      <c r="T596" s="25">
        <v>42.890581</v>
      </c>
      <c r="U596" s="2">
        <v>31</v>
      </c>
      <c r="V596" s="3">
        <v>287188</v>
      </c>
      <c r="W596" s="3">
        <v>4751959</v>
      </c>
      <c r="X596" s="25">
        <v>-2.158603</v>
      </c>
      <c r="Y596" s="25">
        <v>47.656221</v>
      </c>
      <c r="Z596" s="6"/>
      <c r="AA596" s="7" t="s">
        <v>5138</v>
      </c>
      <c r="AB596" s="8">
        <v>2017</v>
      </c>
      <c r="AC596" s="9"/>
      <c r="AD596" s="10"/>
      <c r="AE596" s="31" t="s">
        <v>2196</v>
      </c>
    </row>
    <row r="597" spans="1:31" ht="12.75">
      <c r="A597" s="4" t="s">
        <v>2197</v>
      </c>
      <c r="B597" s="1" t="s">
        <v>3918</v>
      </c>
      <c r="C597" s="1" t="s">
        <v>2198</v>
      </c>
      <c r="D597" s="1" t="s">
        <v>2199</v>
      </c>
      <c r="E597" s="2">
        <v>1115</v>
      </c>
      <c r="F597" s="2">
        <v>70</v>
      </c>
      <c r="G597" s="3" t="s">
        <v>3167</v>
      </c>
      <c r="H597" s="3" t="s">
        <v>2200</v>
      </c>
      <c r="I597" s="3" t="s">
        <v>2201</v>
      </c>
      <c r="J597" s="44" t="str">
        <f>HYPERLINK("https://www.centcols.org/util/geo/visuGen.php?code=FR-65-1115","FR-65-1115")</f>
        <v>FR-65-1115</v>
      </c>
      <c r="K597" s="3"/>
      <c r="L597" s="1" t="s">
        <v>5176</v>
      </c>
      <c r="M597" s="8">
        <v>99</v>
      </c>
      <c r="N597" s="8">
        <v>15</v>
      </c>
      <c r="O597" s="4"/>
      <c r="P597" s="3"/>
      <c r="Q597" s="3" t="s">
        <v>2202</v>
      </c>
      <c r="R597" s="3" t="s">
        <v>2203</v>
      </c>
      <c r="S597" s="25">
        <v>0.57384655907631</v>
      </c>
      <c r="T597" s="25">
        <v>42.920984259434405</v>
      </c>
      <c r="U597" s="2">
        <v>31</v>
      </c>
      <c r="V597" s="3">
        <v>301991</v>
      </c>
      <c r="W597" s="3">
        <v>4754896</v>
      </c>
      <c r="X597" s="25">
        <v>-1.9585185738609798</v>
      </c>
      <c r="Y597" s="25">
        <v>47.69000176740972</v>
      </c>
      <c r="Z597" s="6"/>
      <c r="AA597" s="7" t="s">
        <v>5138</v>
      </c>
      <c r="AB597" s="8" t="s">
        <v>5571</v>
      </c>
      <c r="AC597" s="9">
        <v>41310</v>
      </c>
      <c r="AD597" s="10">
        <v>22</v>
      </c>
      <c r="AE597" s="31" t="s">
        <v>2204</v>
      </c>
    </row>
    <row r="598" spans="1:31" ht="12.75">
      <c r="A598" s="4" t="s">
        <v>2205</v>
      </c>
      <c r="B598" s="1" t="s">
        <v>5128</v>
      </c>
      <c r="C598" s="1" t="s">
        <v>2206</v>
      </c>
      <c r="D598" s="1" t="s">
        <v>2207</v>
      </c>
      <c r="E598" s="2">
        <v>1120</v>
      </c>
      <c r="F598" s="2">
        <v>70</v>
      </c>
      <c r="G598" s="3" t="s">
        <v>2143</v>
      </c>
      <c r="H598" s="3" t="s">
        <v>2208</v>
      </c>
      <c r="I598" s="3" t="s">
        <v>2209</v>
      </c>
      <c r="J598" s="44" t="str">
        <f>HYPERLINK("https://www.centcols.org/util/geo/visuGen.php?code=FR-65-1120","FR-65-1120")</f>
        <v>FR-65-1120</v>
      </c>
      <c r="K598" s="3" t="s">
        <v>2210</v>
      </c>
      <c r="L598" s="1" t="s">
        <v>1555</v>
      </c>
      <c r="M598" s="8">
        <v>0</v>
      </c>
      <c r="N598" s="8">
        <v>0</v>
      </c>
      <c r="O598" s="4"/>
      <c r="P598" s="3"/>
      <c r="Q598" s="3" t="s">
        <v>2211</v>
      </c>
      <c r="R598" s="3" t="s">
        <v>2212</v>
      </c>
      <c r="S598" s="25">
        <v>0.369188</v>
      </c>
      <c r="T598" s="25">
        <v>42.88438</v>
      </c>
      <c r="U598" s="2">
        <v>31</v>
      </c>
      <c r="V598" s="3">
        <v>285160</v>
      </c>
      <c r="W598" s="3">
        <v>4751333</v>
      </c>
      <c r="X598" s="25">
        <v>-2.185905</v>
      </c>
      <c r="Y598" s="25">
        <v>47.649332</v>
      </c>
      <c r="Z598" s="6"/>
      <c r="AA598" s="7" t="s">
        <v>5138</v>
      </c>
      <c r="AB598" s="8">
        <v>2017</v>
      </c>
      <c r="AC598" s="9"/>
      <c r="AD598" s="10"/>
      <c r="AE598" s="31" t="s">
        <v>2196</v>
      </c>
    </row>
    <row r="599" spans="1:31" ht="12.75">
      <c r="A599" s="4" t="s">
        <v>2213</v>
      </c>
      <c r="B599" s="1" t="s">
        <v>2214</v>
      </c>
      <c r="C599" s="1" t="s">
        <v>2215</v>
      </c>
      <c r="D599" s="1" t="s">
        <v>2216</v>
      </c>
      <c r="E599" s="2">
        <v>1192</v>
      </c>
      <c r="F599" s="2">
        <v>70</v>
      </c>
      <c r="G599" s="3" t="s">
        <v>3167</v>
      </c>
      <c r="H599" s="3" t="s">
        <v>2217</v>
      </c>
      <c r="I599" s="3" t="s">
        <v>2218</v>
      </c>
      <c r="J599" s="44" t="str">
        <f>HYPERLINK("https://www.centcols.org/util/geo/visuGen.php?code=FR-65-1305","FR-65-1305")</f>
        <v>FR-65-1305</v>
      </c>
      <c r="K599" s="3" t="s">
        <v>2219</v>
      </c>
      <c r="L599" s="1" t="s">
        <v>1180</v>
      </c>
      <c r="M599" s="8">
        <v>0</v>
      </c>
      <c r="N599" s="8">
        <v>0</v>
      </c>
      <c r="O599" s="4"/>
      <c r="P599" s="3"/>
      <c r="Q599" s="3" t="s">
        <v>2220</v>
      </c>
      <c r="R599" s="3" t="s">
        <v>2221</v>
      </c>
      <c r="S599" s="25">
        <v>0.552069</v>
      </c>
      <c r="T599" s="25">
        <v>42.969689</v>
      </c>
      <c r="U599" s="2">
        <v>31</v>
      </c>
      <c r="V599" s="3">
        <v>300371</v>
      </c>
      <c r="W599" s="3">
        <v>4760356</v>
      </c>
      <c r="X599" s="25">
        <v>-1.9827138154769726</v>
      </c>
      <c r="Y599" s="25">
        <v>47.74411926390999</v>
      </c>
      <c r="Z599" s="6"/>
      <c r="AA599" s="7" t="s">
        <v>5138</v>
      </c>
      <c r="AB599" s="8">
        <v>2015</v>
      </c>
      <c r="AC599" s="9"/>
      <c r="AD599" s="10"/>
      <c r="AE599" s="31" t="s">
        <v>2222</v>
      </c>
    </row>
    <row r="600" spans="1:31" ht="12.75">
      <c r="A600" s="4" t="s">
        <v>2223</v>
      </c>
      <c r="B600" s="1" t="s">
        <v>5574</v>
      </c>
      <c r="C600" s="1" t="s">
        <v>2224</v>
      </c>
      <c r="D600" s="1" t="s">
        <v>2225</v>
      </c>
      <c r="E600" s="2">
        <v>1800</v>
      </c>
      <c r="F600" s="2">
        <v>70</v>
      </c>
      <c r="G600" s="3" t="s">
        <v>2226</v>
      </c>
      <c r="H600" s="3" t="s">
        <v>2227</v>
      </c>
      <c r="I600" s="3" t="s">
        <v>2228</v>
      </c>
      <c r="J600" s="44" t="str">
        <f>HYPERLINK("https://www.centcols.org/util/geo/visuGen.php?code=FR-65-1800","FR-65-1800")</f>
        <v>FR-65-1800</v>
      </c>
      <c r="K600" s="3"/>
      <c r="L600" s="1" t="s">
        <v>5726</v>
      </c>
      <c r="M600" s="8">
        <v>99</v>
      </c>
      <c r="N600" s="8">
        <v>15</v>
      </c>
      <c r="O600" s="4"/>
      <c r="P600" s="3"/>
      <c r="Q600" s="3" t="s">
        <v>2229</v>
      </c>
      <c r="R600" s="3" t="s">
        <v>2230</v>
      </c>
      <c r="S600" s="25">
        <v>0.26773471100542345</v>
      </c>
      <c r="T600" s="25">
        <v>42.77466756815235</v>
      </c>
      <c r="U600" s="2">
        <v>31</v>
      </c>
      <c r="V600" s="3">
        <v>276479</v>
      </c>
      <c r="W600" s="3">
        <v>4739413</v>
      </c>
      <c r="X600" s="25">
        <v>-2.2986263608767166</v>
      </c>
      <c r="Y600" s="25">
        <v>47.527428289317434</v>
      </c>
      <c r="Z600" s="6"/>
      <c r="AA600" s="7" t="s">
        <v>5176</v>
      </c>
      <c r="AB600" s="8" t="s">
        <v>6110</v>
      </c>
      <c r="AC600" s="9"/>
      <c r="AD600" s="10">
        <v>1</v>
      </c>
      <c r="AE600" s="31" t="s">
        <v>2231</v>
      </c>
    </row>
    <row r="601" spans="1:31" ht="22.5">
      <c r="A601" s="4" t="s">
        <v>2232</v>
      </c>
      <c r="B601" s="1" t="s">
        <v>2233</v>
      </c>
      <c r="C601" s="1" t="s">
        <v>2234</v>
      </c>
      <c r="D601" s="1" t="s">
        <v>2235</v>
      </c>
      <c r="E601" s="2">
        <v>1805</v>
      </c>
      <c r="F601" s="2">
        <v>70</v>
      </c>
      <c r="G601" s="3" t="s">
        <v>2118</v>
      </c>
      <c r="H601" s="3" t="s">
        <v>2236</v>
      </c>
      <c r="I601" s="3" t="s">
        <v>2237</v>
      </c>
      <c r="J601" s="44" t="str">
        <f>HYPERLINK("https://www.centcols.org/util/geo/visuGen.php?code=FR-65-1805","FR-65-1805")</f>
        <v>FR-65-1805</v>
      </c>
      <c r="K601" s="3"/>
      <c r="L601" s="1"/>
      <c r="M601" s="8">
        <v>99</v>
      </c>
      <c r="N601" s="8">
        <v>20</v>
      </c>
      <c r="O601" s="4"/>
      <c r="P601" s="3"/>
      <c r="Q601" s="3" t="s">
        <v>2238</v>
      </c>
      <c r="R601" s="3" t="s">
        <v>2239</v>
      </c>
      <c r="S601" s="25">
        <v>-0.117274</v>
      </c>
      <c r="T601" s="25">
        <v>42.918982</v>
      </c>
      <c r="U601" s="2">
        <v>30</v>
      </c>
      <c r="V601" s="3">
        <v>735282</v>
      </c>
      <c r="W601" s="3">
        <v>4755850</v>
      </c>
      <c r="X601" s="25">
        <v>-2.726389</v>
      </c>
      <c r="Y601" s="25">
        <v>47.687784</v>
      </c>
      <c r="Z601" s="6"/>
      <c r="AA601" s="7" t="s">
        <v>5138</v>
      </c>
      <c r="AB601" s="8">
        <v>2017</v>
      </c>
      <c r="AC601" s="9"/>
      <c r="AD601" s="10"/>
      <c r="AE601" s="31" t="s">
        <v>2240</v>
      </c>
    </row>
    <row r="602" spans="1:31" ht="12.75">
      <c r="A602" s="4" t="s">
        <v>2241</v>
      </c>
      <c r="B602" s="1" t="s">
        <v>2242</v>
      </c>
      <c r="C602" s="1" t="s">
        <v>2243</v>
      </c>
      <c r="D602" s="1" t="s">
        <v>2244</v>
      </c>
      <c r="E602" s="2">
        <v>1835</v>
      </c>
      <c r="F602" s="2">
        <v>70</v>
      </c>
      <c r="G602" s="3" t="s">
        <v>2245</v>
      </c>
      <c r="H602" s="3" t="s">
        <v>2246</v>
      </c>
      <c r="I602" s="3" t="s">
        <v>2247</v>
      </c>
      <c r="J602" s="44" t="str">
        <f>HYPERLINK("https://www.centcols.org/util/geo/visuGen.php?code=FR-65-1835","FR-65-1835")</f>
        <v>FR-65-1835</v>
      </c>
      <c r="K602" s="3"/>
      <c r="L602" s="1" t="s">
        <v>6216</v>
      </c>
      <c r="M602" s="8">
        <v>99</v>
      </c>
      <c r="N602" s="8">
        <v>15</v>
      </c>
      <c r="O602" s="4"/>
      <c r="P602" s="3"/>
      <c r="Q602" s="3" t="s">
        <v>2248</v>
      </c>
      <c r="R602" s="3" t="s">
        <v>2249</v>
      </c>
      <c r="S602" s="25">
        <v>-0.10189891042559833</v>
      </c>
      <c r="T602" s="25">
        <v>42.807068010136696</v>
      </c>
      <c r="U602" s="2">
        <v>30</v>
      </c>
      <c r="V602" s="3">
        <v>736965</v>
      </c>
      <c r="W602" s="3">
        <v>4743465</v>
      </c>
      <c r="X602" s="25">
        <v>-2.7093079680770624</v>
      </c>
      <c r="Y602" s="25">
        <v>47.56343322700462</v>
      </c>
      <c r="Z602" s="6"/>
      <c r="AA602" s="7" t="s">
        <v>5176</v>
      </c>
      <c r="AB602" s="8" t="s">
        <v>5711</v>
      </c>
      <c r="AC602" s="9"/>
      <c r="AD602" s="10">
        <v>1</v>
      </c>
      <c r="AE602" s="31" t="s">
        <v>2231</v>
      </c>
    </row>
    <row r="603" spans="1:31" ht="12.75">
      <c r="A603" s="4" t="s">
        <v>2250</v>
      </c>
      <c r="B603" s="1" t="s">
        <v>1935</v>
      </c>
      <c r="C603" s="1" t="s">
        <v>2251</v>
      </c>
      <c r="D603" s="1" t="s">
        <v>2252</v>
      </c>
      <c r="E603" s="2">
        <v>1904</v>
      </c>
      <c r="F603" s="2">
        <v>70</v>
      </c>
      <c r="G603" s="3" t="s">
        <v>2163</v>
      </c>
      <c r="H603" s="3" t="s">
        <v>2253</v>
      </c>
      <c r="I603" s="3" t="s">
        <v>2254</v>
      </c>
      <c r="J603" s="44" t="str">
        <f>HYPERLINK("https://www.centcols.org/util/geo/visuGen.php?code=FR-65-1904","FR-65-1904")</f>
        <v>FR-65-1904</v>
      </c>
      <c r="K603" s="3"/>
      <c r="L603" s="1" t="s">
        <v>5746</v>
      </c>
      <c r="M603" s="8">
        <v>99</v>
      </c>
      <c r="N603" s="8">
        <v>20</v>
      </c>
      <c r="O603" s="4"/>
      <c r="P603" s="3"/>
      <c r="Q603" s="3" t="s">
        <v>2255</v>
      </c>
      <c r="R603" s="3" t="s">
        <v>2256</v>
      </c>
      <c r="S603" s="25">
        <v>0.20768577752102668</v>
      </c>
      <c r="T603" s="25">
        <v>42.90120388397769</v>
      </c>
      <c r="U603" s="2">
        <v>31</v>
      </c>
      <c r="V603" s="3">
        <v>272032</v>
      </c>
      <c r="W603" s="3">
        <v>4753627</v>
      </c>
      <c r="X603" s="25">
        <v>-2.3653516085419164</v>
      </c>
      <c r="Y603" s="25">
        <v>47.668</v>
      </c>
      <c r="Z603" s="6"/>
      <c r="AA603" s="7" t="s">
        <v>5176</v>
      </c>
      <c r="AB603" s="8" t="s">
        <v>5802</v>
      </c>
      <c r="AC603" s="9"/>
      <c r="AD603" s="10">
        <v>1</v>
      </c>
      <c r="AE603" s="31" t="s">
        <v>4196</v>
      </c>
    </row>
    <row r="604" spans="1:31" ht="12.75">
      <c r="A604" s="18" t="s">
        <v>2257</v>
      </c>
      <c r="B604" s="20" t="s">
        <v>5262</v>
      </c>
      <c r="C604" s="20" t="s">
        <v>2258</v>
      </c>
      <c r="D604" s="20" t="s">
        <v>2258</v>
      </c>
      <c r="E604" s="19">
        <v>2125</v>
      </c>
      <c r="F604" s="19">
        <v>70</v>
      </c>
      <c r="G604" s="19" t="s">
        <v>2259</v>
      </c>
      <c r="H604" s="19" t="s">
        <v>2260</v>
      </c>
      <c r="I604" s="19" t="s">
        <v>2261</v>
      </c>
      <c r="J604" s="44" t="str">
        <f>HYPERLINK("https://www.centcols.org/util/geo/visuGen.php?code=FR-65-2125","FR-65-2125")</f>
        <v>FR-65-2125</v>
      </c>
      <c r="K604" s="19"/>
      <c r="L604" s="20"/>
      <c r="M604" s="19">
        <v>99</v>
      </c>
      <c r="N604" s="19">
        <v>20</v>
      </c>
      <c r="O604" s="18"/>
      <c r="P604" s="19"/>
      <c r="Q604" s="19" t="s">
        <v>2262</v>
      </c>
      <c r="R604" s="19" t="s">
        <v>6956</v>
      </c>
      <c r="S604" s="59">
        <v>0.097062947</v>
      </c>
      <c r="T604" s="59">
        <v>42.733345</v>
      </c>
      <c r="U604" s="19">
        <v>31</v>
      </c>
      <c r="V604" s="3">
        <v>262358</v>
      </c>
      <c r="W604" s="3">
        <v>4735291</v>
      </c>
      <c r="X604" s="59">
        <v>-2.488252</v>
      </c>
      <c r="Y604" s="59">
        <v>47.48152</v>
      </c>
      <c r="Z604" s="18"/>
      <c r="AA604" s="19" t="s">
        <v>5138</v>
      </c>
      <c r="AB604" s="11">
        <v>2019</v>
      </c>
      <c r="AC604" s="60">
        <v>43525</v>
      </c>
      <c r="AD604" s="54"/>
      <c r="AE604" s="23" t="s">
        <v>2263</v>
      </c>
    </row>
    <row r="605" spans="1:31" ht="12.75">
      <c r="A605" s="4" t="s">
        <v>2264</v>
      </c>
      <c r="B605" s="1" t="s">
        <v>2265</v>
      </c>
      <c r="C605" s="1" t="s">
        <v>2266</v>
      </c>
      <c r="D605" s="1" t="s">
        <v>2267</v>
      </c>
      <c r="E605" s="2">
        <v>2554</v>
      </c>
      <c r="F605" s="2">
        <v>70</v>
      </c>
      <c r="G605" s="3" t="s">
        <v>2268</v>
      </c>
      <c r="H605" s="3" t="s">
        <v>2269</v>
      </c>
      <c r="I605" s="3" t="s">
        <v>2270</v>
      </c>
      <c r="J605" s="44" t="str">
        <f>HYPERLINK("https://www.centcols.org/util/geo/visuGen.php?code=FR-65-2554","FR-65-2554")</f>
        <v>FR-65-2554</v>
      </c>
      <c r="K605" s="3"/>
      <c r="L605" s="1"/>
      <c r="M605" s="8">
        <v>99</v>
      </c>
      <c r="N605" s="8">
        <v>20</v>
      </c>
      <c r="O605" s="4"/>
      <c r="P605" s="3"/>
      <c r="Q605" s="3" t="s">
        <v>2271</v>
      </c>
      <c r="R605" s="3" t="s">
        <v>2272</v>
      </c>
      <c r="S605" s="25">
        <v>0.15202</v>
      </c>
      <c r="T605" s="25">
        <v>42.858913</v>
      </c>
      <c r="U605" s="2">
        <v>31</v>
      </c>
      <c r="V605" s="3">
        <v>267328</v>
      </c>
      <c r="W605" s="3">
        <v>4749083</v>
      </c>
      <c r="X605" s="25">
        <v>-2.427189</v>
      </c>
      <c r="Y605" s="25">
        <v>47.621037</v>
      </c>
      <c r="Z605" s="6"/>
      <c r="AA605" s="7" t="s">
        <v>5138</v>
      </c>
      <c r="AB605" s="8">
        <v>2016</v>
      </c>
      <c r="AC605" s="9">
        <v>42593</v>
      </c>
      <c r="AD605" s="10"/>
      <c r="AE605" s="31" t="s">
        <v>2273</v>
      </c>
    </row>
    <row r="606" spans="1:31" ht="12.75">
      <c r="A606" s="18" t="s">
        <v>2274</v>
      </c>
      <c r="B606" s="62" t="s">
        <v>1761</v>
      </c>
      <c r="C606" s="62" t="s">
        <v>2275</v>
      </c>
      <c r="D606" s="62" t="s">
        <v>2276</v>
      </c>
      <c r="E606" s="24">
        <v>2752</v>
      </c>
      <c r="F606" s="24">
        <v>70</v>
      </c>
      <c r="G606" s="24" t="s">
        <v>2226</v>
      </c>
      <c r="H606" s="24" t="s">
        <v>2277</v>
      </c>
      <c r="I606" s="24" t="s">
        <v>2278</v>
      </c>
      <c r="J606" s="44" t="str">
        <f>HYPERLINK("https://www.centcols.org/util/geo/visuGen.php?code=FR-65-2752","FR-65-2752")</f>
        <v>FR-65-2752</v>
      </c>
      <c r="K606" s="19"/>
      <c r="L606" s="20"/>
      <c r="M606" s="24">
        <v>99</v>
      </c>
      <c r="N606" s="24">
        <v>20</v>
      </c>
      <c r="O606" s="18"/>
      <c r="P606" s="19" t="s">
        <v>2279</v>
      </c>
      <c r="Q606" s="24" t="s">
        <v>2280</v>
      </c>
      <c r="R606" s="24" t="s">
        <v>6957</v>
      </c>
      <c r="S606" s="25">
        <v>0.260159</v>
      </c>
      <c r="T606" s="25">
        <v>42.715936</v>
      </c>
      <c r="U606" s="24">
        <v>31</v>
      </c>
      <c r="V606" s="3">
        <v>275647</v>
      </c>
      <c r="W606" s="3">
        <v>4732911</v>
      </c>
      <c r="X606" s="25">
        <v>-2.307045</v>
      </c>
      <c r="Y606" s="25">
        <v>47.46217</v>
      </c>
      <c r="Z606" s="18"/>
      <c r="AA606" s="19" t="s">
        <v>5176</v>
      </c>
      <c r="AB606" s="11">
        <v>2019</v>
      </c>
      <c r="AC606" s="60">
        <v>43525</v>
      </c>
      <c r="AD606" s="54"/>
      <c r="AE606" s="61" t="s">
        <v>2281</v>
      </c>
    </row>
    <row r="607" spans="1:31" ht="12.75">
      <c r="A607" s="18" t="s">
        <v>2282</v>
      </c>
      <c r="B607" s="62" t="s">
        <v>5741</v>
      </c>
      <c r="C607" s="62" t="s">
        <v>3398</v>
      </c>
      <c r="D607" s="62" t="s">
        <v>2283</v>
      </c>
      <c r="E607" s="24">
        <v>2935</v>
      </c>
      <c r="F607" s="24">
        <v>70</v>
      </c>
      <c r="G607" s="24" t="s">
        <v>2259</v>
      </c>
      <c r="H607" s="24" t="s">
        <v>2284</v>
      </c>
      <c r="I607" s="24" t="s">
        <v>2285</v>
      </c>
      <c r="J607" s="44" t="str">
        <f>HYPERLINK("https://www.centcols.org/util/geo/visuGen.php?code=FR-65-2935a","FR-65-2935a")</f>
        <v>FR-65-2935a</v>
      </c>
      <c r="K607" s="19"/>
      <c r="L607" s="20"/>
      <c r="M607" s="24">
        <v>99</v>
      </c>
      <c r="N607" s="19">
        <v>20</v>
      </c>
      <c r="O607" s="18"/>
      <c r="P607" s="24" t="s">
        <v>2028</v>
      </c>
      <c r="Q607" s="24" t="s">
        <v>2286</v>
      </c>
      <c r="R607" s="24" t="s">
        <v>6958</v>
      </c>
      <c r="S607" s="25">
        <v>0.1282</v>
      </c>
      <c r="T607" s="25">
        <v>42.714337</v>
      </c>
      <c r="U607" s="24">
        <v>31</v>
      </c>
      <c r="V607" s="3">
        <v>264835</v>
      </c>
      <c r="W607" s="3">
        <v>4733093</v>
      </c>
      <c r="X607" s="25">
        <v>0.866603</v>
      </c>
      <c r="Y607" s="25">
        <v>47.164996</v>
      </c>
      <c r="Z607" s="18"/>
      <c r="AA607" s="19" t="s">
        <v>5176</v>
      </c>
      <c r="AB607" s="11">
        <v>2019</v>
      </c>
      <c r="AC607" s="60">
        <v>43525</v>
      </c>
      <c r="AD607" s="54"/>
      <c r="AE607" s="61" t="s">
        <v>2287</v>
      </c>
    </row>
    <row r="608" spans="1:31" ht="12.75">
      <c r="A608" s="4" t="s">
        <v>2288</v>
      </c>
      <c r="B608" s="1" t="s">
        <v>5612</v>
      </c>
      <c r="C608" s="1" t="s">
        <v>2289</v>
      </c>
      <c r="D608" s="1" t="s">
        <v>2290</v>
      </c>
      <c r="E608" s="2">
        <v>22</v>
      </c>
      <c r="F608" s="2">
        <v>72</v>
      </c>
      <c r="G608" s="3" t="s">
        <v>2291</v>
      </c>
      <c r="H608" s="3" t="s">
        <v>2292</v>
      </c>
      <c r="I608" s="3" t="s">
        <v>2293</v>
      </c>
      <c r="J608" s="44" t="str">
        <f>HYPERLINK("https://www.centcols.org/util/geo/visuGen.php?code=FR-66-0022","FR-66-0022")</f>
        <v>FR-66-0022</v>
      </c>
      <c r="K608" s="3" t="s">
        <v>2294</v>
      </c>
      <c r="L608" s="1" t="s">
        <v>5157</v>
      </c>
      <c r="M608" s="8">
        <v>0</v>
      </c>
      <c r="N608" s="8">
        <v>0</v>
      </c>
      <c r="O608" s="4"/>
      <c r="P608" s="3"/>
      <c r="Q608" s="3" t="s">
        <v>2295</v>
      </c>
      <c r="R608" s="3" t="s">
        <v>2296</v>
      </c>
      <c r="S608" s="25">
        <v>2.918649221626534</v>
      </c>
      <c r="T608" s="25">
        <v>42.61094765268155</v>
      </c>
      <c r="U608" s="2">
        <v>31</v>
      </c>
      <c r="V608" s="3">
        <v>493328</v>
      </c>
      <c r="W608" s="3">
        <v>4717616</v>
      </c>
      <c r="X608" s="25">
        <v>0.6467065306614397</v>
      </c>
      <c r="Y608" s="25">
        <v>47.345473942541695</v>
      </c>
      <c r="Z608" s="6"/>
      <c r="AA608" s="7" t="s">
        <v>5138</v>
      </c>
      <c r="AB608" s="8" t="s">
        <v>5571</v>
      </c>
      <c r="AC608" s="9">
        <v>41286</v>
      </c>
      <c r="AD608" s="10">
        <v>14</v>
      </c>
      <c r="AE608" s="31" t="s">
        <v>2297</v>
      </c>
    </row>
    <row r="609" spans="1:31" ht="12.75">
      <c r="A609" s="4" t="s">
        <v>2298</v>
      </c>
      <c r="B609" s="1" t="s">
        <v>2299</v>
      </c>
      <c r="C609" s="1" t="s">
        <v>5742</v>
      </c>
      <c r="D609" s="1" t="s">
        <v>2300</v>
      </c>
      <c r="E609" s="2">
        <v>133</v>
      </c>
      <c r="F609" s="2">
        <v>72</v>
      </c>
      <c r="G609" s="3" t="s">
        <v>6807</v>
      </c>
      <c r="H609" s="3" t="s">
        <v>2301</v>
      </c>
      <c r="I609" s="3" t="s">
        <v>2302</v>
      </c>
      <c r="J609" s="44" t="str">
        <f>HYPERLINK("https://www.centcols.org/util/geo/visuGen.php?code=FR-66-0133a","FR-66-0133a")</f>
        <v>FR-66-0133a</v>
      </c>
      <c r="K609" s="3"/>
      <c r="L609" s="1" t="s">
        <v>5138</v>
      </c>
      <c r="M609" s="8">
        <v>35</v>
      </c>
      <c r="N609" s="8">
        <v>10</v>
      </c>
      <c r="O609" s="4"/>
      <c r="P609" s="3"/>
      <c r="Q609" s="3" t="s">
        <v>2303</v>
      </c>
      <c r="R609" s="3" t="s">
        <v>2304</v>
      </c>
      <c r="S609" s="25">
        <v>2.9060308100349057</v>
      </c>
      <c r="T609" s="25">
        <v>42.85912205595275</v>
      </c>
      <c r="U609" s="2">
        <v>31</v>
      </c>
      <c r="V609" s="3">
        <v>492323</v>
      </c>
      <c r="W609" s="3">
        <v>4745175</v>
      </c>
      <c r="X609" s="25">
        <v>0.6326912354491646</v>
      </c>
      <c r="Y609" s="25">
        <v>47.621231413467946</v>
      </c>
      <c r="Z609" s="6"/>
      <c r="AA609" s="7" t="s">
        <v>5138</v>
      </c>
      <c r="AB609" s="8">
        <v>2004</v>
      </c>
      <c r="AC609" s="9"/>
      <c r="AD609" s="10">
        <v>1</v>
      </c>
      <c r="AE609" s="31" t="s">
        <v>2305</v>
      </c>
    </row>
    <row r="610" spans="1:31" ht="12.75">
      <c r="A610" s="4" t="s">
        <v>2306</v>
      </c>
      <c r="B610" s="1" t="s">
        <v>5704</v>
      </c>
      <c r="C610" s="1" t="s">
        <v>2307</v>
      </c>
      <c r="D610" s="1" t="s">
        <v>2308</v>
      </c>
      <c r="E610" s="2">
        <v>261</v>
      </c>
      <c r="F610" s="2">
        <v>72</v>
      </c>
      <c r="G610" s="3" t="s">
        <v>4055</v>
      </c>
      <c r="H610" s="3" t="s">
        <v>2309</v>
      </c>
      <c r="I610" s="3" t="s">
        <v>2310</v>
      </c>
      <c r="J610" s="44" t="str">
        <f>HYPERLINK("https://www.centcols.org/util/geo/visuGen.php?code=FR-66-0250a","FR-66-0250a")</f>
        <v>FR-66-0250a</v>
      </c>
      <c r="K610" s="3" t="s">
        <v>2311</v>
      </c>
      <c r="L610" s="1" t="s">
        <v>2312</v>
      </c>
      <c r="M610" s="8">
        <v>0</v>
      </c>
      <c r="N610" s="8">
        <v>0</v>
      </c>
      <c r="O610" s="4"/>
      <c r="P610" s="3"/>
      <c r="Q610" s="3" t="s">
        <v>2313</v>
      </c>
      <c r="R610" s="3" t="s">
        <v>2314</v>
      </c>
      <c r="S610" s="25">
        <v>2.7970837269062896</v>
      </c>
      <c r="T610" s="25">
        <v>42.847394771463854</v>
      </c>
      <c r="U610" s="2">
        <v>31</v>
      </c>
      <c r="V610" s="3">
        <v>483420</v>
      </c>
      <c r="W610" s="3">
        <v>4743888</v>
      </c>
      <c r="X610" s="25">
        <v>0.5116421351358781</v>
      </c>
      <c r="Y610" s="25">
        <v>47.6082020319684</v>
      </c>
      <c r="Z610" s="6"/>
      <c r="AA610" s="7" t="s">
        <v>5176</v>
      </c>
      <c r="AB610" s="8" t="s">
        <v>5571</v>
      </c>
      <c r="AC610" s="9">
        <v>41394</v>
      </c>
      <c r="AD610" s="10">
        <v>32</v>
      </c>
      <c r="AE610" s="31" t="s">
        <v>2315</v>
      </c>
    </row>
    <row r="611" spans="1:31" ht="12.75">
      <c r="A611" s="18" t="s">
        <v>2316</v>
      </c>
      <c r="B611" s="62" t="s">
        <v>2317</v>
      </c>
      <c r="C611" s="62" t="s">
        <v>2318</v>
      </c>
      <c r="D611" s="62" t="s">
        <v>2319</v>
      </c>
      <c r="E611" s="24">
        <v>250</v>
      </c>
      <c r="F611" s="24">
        <v>72</v>
      </c>
      <c r="G611" s="24" t="s">
        <v>4055</v>
      </c>
      <c r="H611" s="24" t="s">
        <v>2320</v>
      </c>
      <c r="I611" s="24" t="s">
        <v>2321</v>
      </c>
      <c r="J611" s="44" t="str">
        <f>HYPERLINK("https://www.centcols.org/util/geo/visuGen.php?code=FR-66-0250b","FR-66-0250b")</f>
        <v>FR-66-0250b</v>
      </c>
      <c r="K611" s="19"/>
      <c r="L611" s="62" t="s">
        <v>4524</v>
      </c>
      <c r="M611" s="24">
        <v>40</v>
      </c>
      <c r="N611" s="24">
        <v>15</v>
      </c>
      <c r="O611" s="18"/>
      <c r="P611" s="19"/>
      <c r="Q611" s="24" t="s">
        <v>2322</v>
      </c>
      <c r="R611" s="24" t="s">
        <v>6959</v>
      </c>
      <c r="S611" s="25">
        <v>2.797477</v>
      </c>
      <c r="T611" s="25">
        <v>42.84544</v>
      </c>
      <c r="U611" s="24">
        <v>31</v>
      </c>
      <c r="V611" s="3">
        <v>483451</v>
      </c>
      <c r="W611" s="3">
        <v>4743671</v>
      </c>
      <c r="X611" s="25">
        <v>0.512079</v>
      </c>
      <c r="Y611" s="25">
        <v>47.60603</v>
      </c>
      <c r="Z611" s="18"/>
      <c r="AA611" s="19" t="s">
        <v>5176</v>
      </c>
      <c r="AB611" s="11">
        <v>2019</v>
      </c>
      <c r="AC611" s="60">
        <v>43525</v>
      </c>
      <c r="AD611" s="54"/>
      <c r="AE611" s="61" t="s">
        <v>2323</v>
      </c>
    </row>
    <row r="612" spans="1:31" ht="12.75">
      <c r="A612" s="18" t="s">
        <v>2324</v>
      </c>
      <c r="B612" s="20" t="s">
        <v>2325</v>
      </c>
      <c r="C612" s="20" t="s">
        <v>2326</v>
      </c>
      <c r="D612" s="20" t="s">
        <v>2327</v>
      </c>
      <c r="E612" s="19">
        <v>452</v>
      </c>
      <c r="F612" s="14">
        <v>72</v>
      </c>
      <c r="G612" s="19" t="s">
        <v>2328</v>
      </c>
      <c r="H612" s="19" t="s">
        <v>2329</v>
      </c>
      <c r="I612" s="19" t="s">
        <v>2330</v>
      </c>
      <c r="J612" s="44" t="str">
        <f>HYPERLINK("https://www.centcols.org/util/geo/visuGen.php?code=FR-66-0452","FR-66-0452")</f>
        <v>FR-66-0452</v>
      </c>
      <c r="K612" s="19"/>
      <c r="L612" s="20"/>
      <c r="M612" s="19">
        <v>99</v>
      </c>
      <c r="N612" s="19">
        <v>20</v>
      </c>
      <c r="O612" s="18"/>
      <c r="P612" s="19"/>
      <c r="Q612" s="19" t="s">
        <v>2331</v>
      </c>
      <c r="R612" s="19" t="s">
        <v>2332</v>
      </c>
      <c r="S612" s="59">
        <v>2.665445</v>
      </c>
      <c r="T612" s="59">
        <v>42.464984</v>
      </c>
      <c r="U612" s="19">
        <v>31</v>
      </c>
      <c r="V612" s="3">
        <v>472496</v>
      </c>
      <c r="W612" s="3">
        <v>4701459</v>
      </c>
      <c r="X612" s="59">
        <v>0.365372</v>
      </c>
      <c r="Y612" s="59">
        <v>47.183291</v>
      </c>
      <c r="Z612" s="18"/>
      <c r="AA612" s="19" t="s">
        <v>5138</v>
      </c>
      <c r="AB612" s="11">
        <v>2018</v>
      </c>
      <c r="AC612" s="12">
        <v>43250</v>
      </c>
      <c r="AD612" s="54"/>
      <c r="AE612" s="23" t="s">
        <v>2333</v>
      </c>
    </row>
    <row r="613" spans="1:31" ht="12.75">
      <c r="A613" s="4" t="s">
        <v>2334</v>
      </c>
      <c r="B613" s="1" t="s">
        <v>2335</v>
      </c>
      <c r="C613" s="1" t="s">
        <v>2336</v>
      </c>
      <c r="D613" s="1" t="s">
        <v>2337</v>
      </c>
      <c r="E613" s="2">
        <v>695</v>
      </c>
      <c r="F613" s="2">
        <v>72</v>
      </c>
      <c r="G613" s="3" t="s">
        <v>2291</v>
      </c>
      <c r="H613" s="3" t="s">
        <v>2338</v>
      </c>
      <c r="I613" s="3" t="s">
        <v>2339</v>
      </c>
      <c r="J613" s="44" t="str">
        <f>HYPERLINK("https://www.centcols.org/util/geo/visuGen.php?code=FR-66-0695","FR-66-0695")</f>
        <v>FR-66-0695</v>
      </c>
      <c r="K613" s="3"/>
      <c r="L613" s="1"/>
      <c r="M613" s="8">
        <v>99</v>
      </c>
      <c r="N613" s="8">
        <v>20</v>
      </c>
      <c r="O613" s="4"/>
      <c r="P613" s="3"/>
      <c r="Q613" s="3" t="s">
        <v>2340</v>
      </c>
      <c r="R613" s="3" t="s">
        <v>2341</v>
      </c>
      <c r="S613" s="25">
        <v>3.0263561534796075</v>
      </c>
      <c r="T613" s="25">
        <v>42.48768021942303</v>
      </c>
      <c r="U613" s="2">
        <v>31</v>
      </c>
      <c r="V613" s="3">
        <v>502166</v>
      </c>
      <c r="W613" s="3">
        <v>4703925</v>
      </c>
      <c r="X613" s="25">
        <v>0.7663737781339497</v>
      </c>
      <c r="Y613" s="25">
        <v>47.20850552526789</v>
      </c>
      <c r="Z613" s="6"/>
      <c r="AA613" s="7" t="s">
        <v>5176</v>
      </c>
      <c r="AB613" s="8" t="s">
        <v>2342</v>
      </c>
      <c r="AC613" s="9"/>
      <c r="AD613" s="10">
        <v>1</v>
      </c>
      <c r="AE613" s="31" t="s">
        <v>2343</v>
      </c>
    </row>
    <row r="614" spans="1:31" ht="12.75">
      <c r="A614" s="18" t="s">
        <v>2344</v>
      </c>
      <c r="B614" s="62" t="s">
        <v>5923</v>
      </c>
      <c r="C614" s="62" t="s">
        <v>2345</v>
      </c>
      <c r="D614" s="62" t="s">
        <v>2346</v>
      </c>
      <c r="E614" s="24">
        <v>696</v>
      </c>
      <c r="F614" s="24">
        <v>71</v>
      </c>
      <c r="G614" s="24" t="s">
        <v>2328</v>
      </c>
      <c r="H614" s="24" t="s">
        <v>2347</v>
      </c>
      <c r="I614" s="24" t="s">
        <v>2348</v>
      </c>
      <c r="J614" s="44" t="str">
        <f>HYPERLINK("https://www.centcols.org/util/geo/visuGen.php?code=FR-66-0696a","FR-66-0696a")</f>
        <v>FR-66-0696a</v>
      </c>
      <c r="K614" s="24" t="s">
        <v>2349</v>
      </c>
      <c r="L614" s="20" t="s">
        <v>2350</v>
      </c>
      <c r="M614" s="24">
        <v>0</v>
      </c>
      <c r="N614" s="19">
        <v>0</v>
      </c>
      <c r="O614" s="18"/>
      <c r="P614" s="19"/>
      <c r="Q614" s="24" t="s">
        <v>2351</v>
      </c>
      <c r="R614" s="24" t="s">
        <v>6960</v>
      </c>
      <c r="S614" s="25">
        <v>2.578068</v>
      </c>
      <c r="T614" s="59">
        <v>42.409287</v>
      </c>
      <c r="U614" s="24">
        <v>31</v>
      </c>
      <c r="V614" s="3">
        <v>465281</v>
      </c>
      <c r="W614" s="3">
        <v>4695307</v>
      </c>
      <c r="X614" s="25">
        <v>0.268288</v>
      </c>
      <c r="Y614" s="25">
        <v>47.121405</v>
      </c>
      <c r="Z614" s="18"/>
      <c r="AA614" s="11" t="s">
        <v>5138</v>
      </c>
      <c r="AB614" s="11">
        <v>2019</v>
      </c>
      <c r="AC614" s="60">
        <v>43525</v>
      </c>
      <c r="AD614" s="54"/>
      <c r="AE614" s="61" t="s">
        <v>2352</v>
      </c>
    </row>
    <row r="615" spans="1:31" ht="12.75">
      <c r="A615" s="4" t="s">
        <v>2353</v>
      </c>
      <c r="B615" s="1" t="s">
        <v>5981</v>
      </c>
      <c r="C615" s="1" t="s">
        <v>2354</v>
      </c>
      <c r="D615" s="1" t="s">
        <v>2355</v>
      </c>
      <c r="E615" s="2">
        <v>730</v>
      </c>
      <c r="F615" s="2">
        <v>72</v>
      </c>
      <c r="G615" s="3" t="s">
        <v>2328</v>
      </c>
      <c r="H615" s="3" t="s">
        <v>2356</v>
      </c>
      <c r="I615" s="3" t="s">
        <v>2357</v>
      </c>
      <c r="J615" s="44" t="str">
        <f>HYPERLINK("https://www.centcols.org/util/geo/visuGen.php?code=FR-66-0730","FR-66-0730")</f>
        <v>FR-66-0730</v>
      </c>
      <c r="K615" s="3"/>
      <c r="L615" s="1"/>
      <c r="M615" s="8">
        <v>99</v>
      </c>
      <c r="N615" s="8">
        <v>20</v>
      </c>
      <c r="O615" s="4"/>
      <c r="P615" s="3"/>
      <c r="Q615" s="3" t="s">
        <v>2358</v>
      </c>
      <c r="R615" s="3" t="s">
        <v>2359</v>
      </c>
      <c r="S615" s="25">
        <v>2.611414213933105</v>
      </c>
      <c r="T615" s="25">
        <v>42.349541991254604</v>
      </c>
      <c r="U615" s="2">
        <v>31</v>
      </c>
      <c r="V615" s="3">
        <v>467995</v>
      </c>
      <c r="W615" s="3">
        <v>4688660</v>
      </c>
      <c r="X615" s="25">
        <v>0.30533675708740543</v>
      </c>
      <c r="Y615" s="25">
        <v>47.05501890186631</v>
      </c>
      <c r="Z615" s="6"/>
      <c r="AA615" s="7" t="s">
        <v>5138</v>
      </c>
      <c r="AB615" s="8">
        <v>2007</v>
      </c>
      <c r="AC615" s="9"/>
      <c r="AD615" s="10">
        <v>1</v>
      </c>
      <c r="AE615" s="31" t="s">
        <v>2360</v>
      </c>
    </row>
    <row r="616" spans="1:31" ht="22.5">
      <c r="A616" s="4" t="s">
        <v>2361</v>
      </c>
      <c r="B616" s="1" t="s">
        <v>2362</v>
      </c>
      <c r="C616" s="1" t="s">
        <v>2363</v>
      </c>
      <c r="D616" s="1" t="s">
        <v>2364</v>
      </c>
      <c r="E616" s="2">
        <v>875</v>
      </c>
      <c r="F616" s="2">
        <v>72</v>
      </c>
      <c r="G616" s="3" t="s">
        <v>2365</v>
      </c>
      <c r="H616" s="3" t="s">
        <v>2366</v>
      </c>
      <c r="I616" s="3" t="s">
        <v>2367</v>
      </c>
      <c r="J616" s="44" t="str">
        <f>HYPERLINK("https://www.centcols.org/util/geo/visuGen.php?code=FR-66-0875","FR-66-0875")</f>
        <v>FR-66-0875</v>
      </c>
      <c r="K616" s="3"/>
      <c r="L616" s="1" t="s">
        <v>5176</v>
      </c>
      <c r="M616" s="8">
        <v>99</v>
      </c>
      <c r="N616" s="8">
        <v>15</v>
      </c>
      <c r="O616" s="4"/>
      <c r="P616" s="3"/>
      <c r="Q616" s="3" t="s">
        <v>2368</v>
      </c>
      <c r="R616" s="3" t="s">
        <v>2369</v>
      </c>
      <c r="S616" s="25">
        <v>2.7681767236207113</v>
      </c>
      <c r="T616" s="25">
        <v>42.43216779386935</v>
      </c>
      <c r="U616" s="2">
        <v>31</v>
      </c>
      <c r="V616" s="3">
        <v>480931</v>
      </c>
      <c r="W616" s="3">
        <v>4697787</v>
      </c>
      <c r="X616" s="25">
        <v>0.4795148203648882</v>
      </c>
      <c r="Y616" s="25">
        <v>47.14682595411154</v>
      </c>
      <c r="Z616" s="6"/>
      <c r="AA616" s="7" t="s">
        <v>5138</v>
      </c>
      <c r="AB616" s="8" t="s">
        <v>5571</v>
      </c>
      <c r="AC616" s="9">
        <v>41228</v>
      </c>
      <c r="AD616" s="10">
        <v>3</v>
      </c>
      <c r="AE616" s="31" t="s">
        <v>2370</v>
      </c>
    </row>
    <row r="617" spans="1:31" ht="12.75">
      <c r="A617" s="4" t="s">
        <v>2371</v>
      </c>
      <c r="B617" s="1" t="s">
        <v>2372</v>
      </c>
      <c r="C617" s="1" t="s">
        <v>2373</v>
      </c>
      <c r="D617" s="1" t="s">
        <v>2374</v>
      </c>
      <c r="E617" s="2">
        <v>895</v>
      </c>
      <c r="F617" s="2">
        <v>72</v>
      </c>
      <c r="G617" s="3" t="s">
        <v>2375</v>
      </c>
      <c r="H617" s="3" t="s">
        <v>2376</v>
      </c>
      <c r="I617" s="3" t="s">
        <v>2377</v>
      </c>
      <c r="J617" s="44" t="str">
        <f>HYPERLINK("https://www.centcols.org/util/geo/visuGen.php?code=FR-66-0895","FR-66-0895")</f>
        <v>FR-66-0895</v>
      </c>
      <c r="K617" s="3"/>
      <c r="L617" s="1" t="s">
        <v>5176</v>
      </c>
      <c r="M617" s="8">
        <v>99</v>
      </c>
      <c r="N617" s="8">
        <v>15</v>
      </c>
      <c r="O617" s="4"/>
      <c r="P617" s="3"/>
      <c r="Q617" s="3" t="s">
        <v>2378</v>
      </c>
      <c r="R617" s="3" t="s">
        <v>2379</v>
      </c>
      <c r="S617" s="25">
        <v>2.525287</v>
      </c>
      <c r="T617" s="25">
        <v>42.597293</v>
      </c>
      <c r="U617" s="2">
        <v>31</v>
      </c>
      <c r="V617" s="3">
        <v>461055</v>
      </c>
      <c r="W617" s="3">
        <v>4716206</v>
      </c>
      <c r="X617" s="25">
        <v>0.209648</v>
      </c>
      <c r="Y617" s="25">
        <v>47.330307</v>
      </c>
      <c r="Z617" s="6"/>
      <c r="AA617" s="7" t="s">
        <v>5176</v>
      </c>
      <c r="AB617" s="8" t="s">
        <v>5711</v>
      </c>
      <c r="AC617" s="9"/>
      <c r="AD617" s="10">
        <v>1</v>
      </c>
      <c r="AE617" s="31" t="s">
        <v>2380</v>
      </c>
    </row>
    <row r="618" spans="1:31" ht="12.75">
      <c r="A618" s="4" t="s">
        <v>2381</v>
      </c>
      <c r="B618" s="1" t="s">
        <v>2382</v>
      </c>
      <c r="C618" s="1" t="s">
        <v>2383</v>
      </c>
      <c r="D618" s="1" t="s">
        <v>2384</v>
      </c>
      <c r="E618" s="2">
        <v>1084</v>
      </c>
      <c r="F618" s="2">
        <v>72</v>
      </c>
      <c r="G618" s="3" t="s">
        <v>2375</v>
      </c>
      <c r="H618" s="3" t="s">
        <v>2385</v>
      </c>
      <c r="I618" s="3" t="s">
        <v>2386</v>
      </c>
      <c r="J618" s="44" t="str">
        <f>HYPERLINK("https://www.centcols.org/util/geo/visuGen.php?code=FR-66-1084","FR-66-1084")</f>
        <v>FR-66-1084</v>
      </c>
      <c r="K618" s="3"/>
      <c r="L618" s="1" t="s">
        <v>2387</v>
      </c>
      <c r="M618" s="8">
        <v>2</v>
      </c>
      <c r="N618" s="8">
        <v>10</v>
      </c>
      <c r="O618" s="4"/>
      <c r="P618" s="3"/>
      <c r="Q618" s="3" t="s">
        <v>2388</v>
      </c>
      <c r="R618" s="3" t="s">
        <v>2389</v>
      </c>
      <c r="S618" s="25">
        <v>2.560883</v>
      </c>
      <c r="T618" s="25">
        <v>42.549344</v>
      </c>
      <c r="U618" s="2">
        <v>31</v>
      </c>
      <c r="V618" s="3">
        <v>463948</v>
      </c>
      <c r="W618" s="3">
        <v>4710866</v>
      </c>
      <c r="X618" s="25">
        <v>0.249197</v>
      </c>
      <c r="Y618" s="25">
        <v>47.277029</v>
      </c>
      <c r="Z618" s="6"/>
      <c r="AA618" s="7" t="s">
        <v>5176</v>
      </c>
      <c r="AB618" s="8" t="s">
        <v>5711</v>
      </c>
      <c r="AC618" s="9"/>
      <c r="AD618" s="10">
        <v>1</v>
      </c>
      <c r="AE618" s="31" t="s">
        <v>2380</v>
      </c>
    </row>
    <row r="619" spans="1:31" ht="12.75">
      <c r="A619" s="4" t="s">
        <v>2390</v>
      </c>
      <c r="B619" s="1" t="s">
        <v>2391</v>
      </c>
      <c r="C619" s="1" t="s">
        <v>2392</v>
      </c>
      <c r="D619" s="1" t="s">
        <v>2393</v>
      </c>
      <c r="E619" s="2">
        <v>1085</v>
      </c>
      <c r="F619" s="2">
        <v>72</v>
      </c>
      <c r="G619" s="3" t="s">
        <v>2394</v>
      </c>
      <c r="H619" s="3" t="s">
        <v>2395</v>
      </c>
      <c r="I619" s="3" t="s">
        <v>2396</v>
      </c>
      <c r="J619" s="44" t="str">
        <f>HYPERLINK("https://www.centcols.org/util/geo/visuGen.php?code=FR-66-1085","FR-66-1085")</f>
        <v>FR-66-1085</v>
      </c>
      <c r="K619" s="3"/>
      <c r="L619" s="1"/>
      <c r="M619" s="8">
        <v>99</v>
      </c>
      <c r="N619" s="8">
        <v>20</v>
      </c>
      <c r="O619" s="4"/>
      <c r="P619" s="3"/>
      <c r="Q619" s="3" t="s">
        <v>2397</v>
      </c>
      <c r="R619" s="3" t="s">
        <v>2398</v>
      </c>
      <c r="S619" s="25">
        <v>2.929356732108011</v>
      </c>
      <c r="T619" s="25">
        <v>42.47598799872809</v>
      </c>
      <c r="U619" s="2">
        <v>31</v>
      </c>
      <c r="V619" s="3">
        <v>494193</v>
      </c>
      <c r="W619" s="3">
        <v>4702629</v>
      </c>
      <c r="X619" s="25">
        <v>0.6586000392442041</v>
      </c>
      <c r="Y619" s="25">
        <v>47.195514584395085</v>
      </c>
      <c r="Z619" s="6"/>
      <c r="AA619" s="7" t="s">
        <v>5138</v>
      </c>
      <c r="AB619" s="8" t="s">
        <v>5571</v>
      </c>
      <c r="AC619" s="9">
        <v>41387</v>
      </c>
      <c r="AD619" s="10">
        <v>31</v>
      </c>
      <c r="AE619" s="31" t="s">
        <v>2399</v>
      </c>
    </row>
    <row r="620" spans="1:31" ht="33.75">
      <c r="A620" s="18" t="s">
        <v>2400</v>
      </c>
      <c r="B620" s="62" t="s">
        <v>2401</v>
      </c>
      <c r="C620" s="62" t="s">
        <v>2402</v>
      </c>
      <c r="D620" s="62" t="s">
        <v>2403</v>
      </c>
      <c r="E620" s="24">
        <v>1220</v>
      </c>
      <c r="F620" s="24">
        <v>72</v>
      </c>
      <c r="G620" s="24" t="s">
        <v>2365</v>
      </c>
      <c r="H620" s="24" t="s">
        <v>2404</v>
      </c>
      <c r="I620" s="24" t="s">
        <v>2405</v>
      </c>
      <c r="J620" s="44" t="str">
        <f>HYPERLINK("https://www.centcols.org/util/geo/visuGen.php?code=FR-66-1220","FR-66-1220")</f>
        <v>FR-66-1220</v>
      </c>
      <c r="K620" s="19"/>
      <c r="L620" s="62" t="s">
        <v>5176</v>
      </c>
      <c r="M620" s="24">
        <v>99</v>
      </c>
      <c r="N620" s="19">
        <v>15</v>
      </c>
      <c r="O620" s="18"/>
      <c r="P620" s="19" t="s">
        <v>2406</v>
      </c>
      <c r="Q620" s="24" t="s">
        <v>2407</v>
      </c>
      <c r="R620" s="24" t="s">
        <v>6961</v>
      </c>
      <c r="S620" s="25">
        <v>2.756626</v>
      </c>
      <c r="T620" s="25">
        <v>42.425184</v>
      </c>
      <c r="U620" s="24">
        <v>31</v>
      </c>
      <c r="V620" s="3">
        <v>479979</v>
      </c>
      <c r="W620" s="3">
        <v>4697014</v>
      </c>
      <c r="X620" s="25">
        <v>0.466681</v>
      </c>
      <c r="Y620" s="25">
        <v>47.139066</v>
      </c>
      <c r="Z620" s="18"/>
      <c r="AA620" s="19" t="s">
        <v>5176</v>
      </c>
      <c r="AB620" s="11">
        <v>2019</v>
      </c>
      <c r="AC620" s="60">
        <v>43525</v>
      </c>
      <c r="AD620" s="54"/>
      <c r="AE620" s="61" t="s">
        <v>2408</v>
      </c>
    </row>
    <row r="621" spans="1:31" ht="12.75">
      <c r="A621" s="18" t="s">
        <v>2409</v>
      </c>
      <c r="B621" s="62" t="s">
        <v>5128</v>
      </c>
      <c r="C621" s="62" t="s">
        <v>2410</v>
      </c>
      <c r="D621" s="62" t="s">
        <v>2411</v>
      </c>
      <c r="E621" s="24">
        <v>1245</v>
      </c>
      <c r="F621" s="24">
        <v>71</v>
      </c>
      <c r="G621" s="24" t="s">
        <v>2412</v>
      </c>
      <c r="H621" s="24" t="s">
        <v>2413</v>
      </c>
      <c r="I621" s="24" t="s">
        <v>2414</v>
      </c>
      <c r="J621" s="44" t="str">
        <f>HYPERLINK("https://www.centcols.org/util/geo/visuGen.php?code=FR-66-1255","FR-66-1255")</f>
        <v>FR-66-1255</v>
      </c>
      <c r="K621" s="19"/>
      <c r="L621" s="62" t="s">
        <v>2415</v>
      </c>
      <c r="M621" s="24">
        <v>2</v>
      </c>
      <c r="N621" s="24">
        <v>10</v>
      </c>
      <c r="O621" s="18"/>
      <c r="P621" s="24" t="s">
        <v>2028</v>
      </c>
      <c r="Q621" s="24" t="s">
        <v>2416</v>
      </c>
      <c r="R621" s="24" t="s">
        <v>6962</v>
      </c>
      <c r="S621" s="25">
        <v>1.897644</v>
      </c>
      <c r="T621" s="25">
        <v>42.45</v>
      </c>
      <c r="U621" s="24">
        <v>31</v>
      </c>
      <c r="V621" s="3">
        <v>409351</v>
      </c>
      <c r="W621" s="3">
        <v>4700330</v>
      </c>
      <c r="X621" s="25">
        <v>-0.487714</v>
      </c>
      <c r="Y621" s="25">
        <v>47.166654</v>
      </c>
      <c r="Z621" s="18"/>
      <c r="AA621" s="19" t="s">
        <v>5176</v>
      </c>
      <c r="AB621" s="11">
        <v>2019</v>
      </c>
      <c r="AC621" s="60">
        <v>43525</v>
      </c>
      <c r="AD621" s="54"/>
      <c r="AE621" s="61" t="s">
        <v>2417</v>
      </c>
    </row>
    <row r="622" spans="1:31" ht="12.75">
      <c r="A622" s="18" t="s">
        <v>2418</v>
      </c>
      <c r="B622" s="62" t="s">
        <v>2419</v>
      </c>
      <c r="C622" s="62" t="s">
        <v>2420</v>
      </c>
      <c r="D622" s="62" t="s">
        <v>2421</v>
      </c>
      <c r="E622" s="24">
        <v>1328</v>
      </c>
      <c r="F622" s="24">
        <v>72</v>
      </c>
      <c r="G622" s="24" t="s">
        <v>2422</v>
      </c>
      <c r="H622" s="24" t="s">
        <v>2423</v>
      </c>
      <c r="I622" s="24" t="s">
        <v>2424</v>
      </c>
      <c r="J622" s="44" t="str">
        <f>HYPERLINK("https://www.centcols.org/util/geo/visuGen.php?code=FR-66-1328","FR-66-1328")</f>
        <v>FR-66-1328</v>
      </c>
      <c r="K622" s="19"/>
      <c r="L622" s="20"/>
      <c r="M622" s="24">
        <v>99</v>
      </c>
      <c r="N622" s="19">
        <v>20</v>
      </c>
      <c r="O622" s="18"/>
      <c r="P622" s="19" t="s">
        <v>2425</v>
      </c>
      <c r="Q622" s="24" t="s">
        <v>2426</v>
      </c>
      <c r="R622" s="24" t="s">
        <v>6963</v>
      </c>
      <c r="S622" s="25">
        <v>2.512881</v>
      </c>
      <c r="T622" s="25">
        <v>42.337217</v>
      </c>
      <c r="U622" s="24">
        <v>31</v>
      </c>
      <c r="V622" s="3">
        <v>459872</v>
      </c>
      <c r="W622" s="3">
        <v>4687333</v>
      </c>
      <c r="X622" s="25">
        <v>0.195858</v>
      </c>
      <c r="Y622" s="25">
        <v>47.041325</v>
      </c>
      <c r="Z622" s="18"/>
      <c r="AA622" s="19" t="s">
        <v>5176</v>
      </c>
      <c r="AB622" s="11">
        <v>2019</v>
      </c>
      <c r="AC622" s="60">
        <v>43525</v>
      </c>
      <c r="AD622" s="54"/>
      <c r="AE622" s="61" t="s">
        <v>2427</v>
      </c>
    </row>
    <row r="623" spans="1:31" ht="22.5">
      <c r="A623" s="18" t="s">
        <v>2428</v>
      </c>
      <c r="B623" s="62" t="s">
        <v>2429</v>
      </c>
      <c r="C623" s="62" t="s">
        <v>2430</v>
      </c>
      <c r="D623" s="62" t="s">
        <v>2431</v>
      </c>
      <c r="E623" s="24">
        <v>1329</v>
      </c>
      <c r="F623" s="24">
        <v>72</v>
      </c>
      <c r="G623" s="24" t="s">
        <v>2365</v>
      </c>
      <c r="H623" s="24" t="s">
        <v>2432</v>
      </c>
      <c r="I623" s="24" t="s">
        <v>2433</v>
      </c>
      <c r="J623" s="44" t="str">
        <f>HYPERLINK("https://www.centcols.org/util/geo/visuGen.php?code=FR-66-1329","FR-66-1329")</f>
        <v>FR-66-1329</v>
      </c>
      <c r="K623" s="19"/>
      <c r="L623" s="62" t="s">
        <v>2434</v>
      </c>
      <c r="M623" s="24">
        <v>99</v>
      </c>
      <c r="N623" s="24">
        <v>20</v>
      </c>
      <c r="O623" s="18"/>
      <c r="P623" s="19" t="s">
        <v>2435</v>
      </c>
      <c r="Q623" s="24" t="s">
        <v>2436</v>
      </c>
      <c r="R623" s="24" t="s">
        <v>6964</v>
      </c>
      <c r="S623" s="25">
        <v>2.705583</v>
      </c>
      <c r="T623" s="25">
        <v>42.413251</v>
      </c>
      <c r="U623" s="24">
        <v>31</v>
      </c>
      <c r="V623" s="3">
        <v>475775</v>
      </c>
      <c r="W623" s="3">
        <v>4695703</v>
      </c>
      <c r="X623" s="25">
        <v>0.409967</v>
      </c>
      <c r="Y623" s="25">
        <v>47.125807</v>
      </c>
      <c r="Z623" s="18"/>
      <c r="AA623" s="19" t="s">
        <v>5176</v>
      </c>
      <c r="AB623" s="11">
        <v>2019</v>
      </c>
      <c r="AC623" s="60">
        <v>43525</v>
      </c>
      <c r="AD623" s="54"/>
      <c r="AE623" s="23" t="s">
        <v>2437</v>
      </c>
    </row>
    <row r="624" spans="1:31" ht="22.5">
      <c r="A624" s="18" t="s">
        <v>2438</v>
      </c>
      <c r="B624" s="62" t="s">
        <v>2439</v>
      </c>
      <c r="C624" s="62" t="s">
        <v>2440</v>
      </c>
      <c r="D624" s="62" t="s">
        <v>2441</v>
      </c>
      <c r="E624" s="24">
        <v>1377</v>
      </c>
      <c r="F624" s="24">
        <v>72</v>
      </c>
      <c r="G624" s="24" t="s">
        <v>2422</v>
      </c>
      <c r="H624" s="24" t="s">
        <v>2442</v>
      </c>
      <c r="I624" s="24" t="s">
        <v>2443</v>
      </c>
      <c r="J624" s="44" t="str">
        <f>HYPERLINK("https://www.centcols.org/util/geo/visuGen.php?code=FR-66-1377","FR-66-1377")</f>
        <v>FR-66-1377</v>
      </c>
      <c r="K624" s="19"/>
      <c r="L624" s="62" t="s">
        <v>5246</v>
      </c>
      <c r="M624" s="24">
        <v>2</v>
      </c>
      <c r="N624" s="19">
        <v>10</v>
      </c>
      <c r="O624" s="18"/>
      <c r="P624" s="19" t="s">
        <v>2444</v>
      </c>
      <c r="Q624" s="24" t="s">
        <v>2445</v>
      </c>
      <c r="R624" s="24" t="s">
        <v>6965</v>
      </c>
      <c r="S624" s="25">
        <v>2.468619</v>
      </c>
      <c r="T624" s="25">
        <v>42.356636</v>
      </c>
      <c r="U624" s="24">
        <v>31</v>
      </c>
      <c r="V624" s="3">
        <v>456239</v>
      </c>
      <c r="W624" s="3">
        <v>4689511</v>
      </c>
      <c r="X624" s="25">
        <v>0.14668</v>
      </c>
      <c r="Y624" s="25">
        <v>47.062903</v>
      </c>
      <c r="Z624" s="18"/>
      <c r="AA624" s="19" t="s">
        <v>5176</v>
      </c>
      <c r="AB624" s="11">
        <v>2019</v>
      </c>
      <c r="AC624" s="60">
        <v>43525</v>
      </c>
      <c r="AD624" s="54"/>
      <c r="AE624" s="61" t="s">
        <v>5149</v>
      </c>
    </row>
    <row r="625" spans="1:31" ht="12.75">
      <c r="A625" s="4" t="s">
        <v>2446</v>
      </c>
      <c r="B625" s="1" t="s">
        <v>2447</v>
      </c>
      <c r="C625" s="1" t="s">
        <v>2448</v>
      </c>
      <c r="D625" s="1" t="s">
        <v>2449</v>
      </c>
      <c r="E625" s="2">
        <v>1430</v>
      </c>
      <c r="F625" s="2">
        <v>72</v>
      </c>
      <c r="G625" s="3" t="s">
        <v>2328</v>
      </c>
      <c r="H625" s="3" t="s">
        <v>2450</v>
      </c>
      <c r="I625" s="3" t="s">
        <v>2451</v>
      </c>
      <c r="J625" s="44" t="str">
        <f>HYPERLINK("https://www.centcols.org/util/geo/visuGen.php?code=FR-66-1430a","FR-66-1430a")</f>
        <v>FR-66-1430a</v>
      </c>
      <c r="K625" s="3"/>
      <c r="L625" s="1"/>
      <c r="M625" s="8">
        <v>99</v>
      </c>
      <c r="N625" s="8">
        <v>20</v>
      </c>
      <c r="O625" s="4"/>
      <c r="P625" s="3"/>
      <c r="Q625" s="3" t="s">
        <v>2452</v>
      </c>
      <c r="R625" s="3" t="s">
        <v>2453</v>
      </c>
      <c r="S625" s="25">
        <v>2.5239121577565364</v>
      </c>
      <c r="T625" s="25">
        <v>42.469314861762456</v>
      </c>
      <c r="U625" s="2">
        <v>31</v>
      </c>
      <c r="V625" s="3">
        <v>460863</v>
      </c>
      <c r="W625" s="3">
        <v>4701996</v>
      </c>
      <c r="X625" s="25">
        <v>0.20811770744375688</v>
      </c>
      <c r="Y625" s="25">
        <v>47.188104968185826</v>
      </c>
      <c r="Z625" s="6"/>
      <c r="AA625" s="7" t="s">
        <v>5138</v>
      </c>
      <c r="AB625" s="8">
        <v>2008</v>
      </c>
      <c r="AC625" s="9"/>
      <c r="AD625" s="10">
        <v>1</v>
      </c>
      <c r="AE625" s="31" t="s">
        <v>2454</v>
      </c>
    </row>
    <row r="626" spans="1:31" ht="12.75">
      <c r="A626" s="18" t="s">
        <v>2455</v>
      </c>
      <c r="B626" s="62" t="s">
        <v>2456</v>
      </c>
      <c r="C626" s="62" t="s">
        <v>2457</v>
      </c>
      <c r="D626" s="62" t="s">
        <v>2458</v>
      </c>
      <c r="E626" s="24">
        <v>1436</v>
      </c>
      <c r="F626" s="24">
        <v>72</v>
      </c>
      <c r="G626" s="24" t="s">
        <v>2422</v>
      </c>
      <c r="H626" s="24" t="s">
        <v>2459</v>
      </c>
      <c r="I626" s="24" t="s">
        <v>2460</v>
      </c>
      <c r="J626" s="44" t="str">
        <f>HYPERLINK("https://www.centcols.org/util/geo/visuGen.php?code=FR-66-1436","FR-66-1436")</f>
        <v>FR-66-1436</v>
      </c>
      <c r="K626" s="19"/>
      <c r="L626" s="62" t="s">
        <v>2461</v>
      </c>
      <c r="M626" s="24">
        <v>2</v>
      </c>
      <c r="N626" s="24">
        <v>10</v>
      </c>
      <c r="O626" s="18"/>
      <c r="P626" s="19" t="s">
        <v>2462</v>
      </c>
      <c r="Q626" s="24" t="s">
        <v>2463</v>
      </c>
      <c r="R626" s="24" t="s">
        <v>6966</v>
      </c>
      <c r="S626" s="25">
        <v>2.466024</v>
      </c>
      <c r="T626" s="25">
        <v>42.360709</v>
      </c>
      <c r="U626" s="24">
        <v>31</v>
      </c>
      <c r="V626" s="3">
        <v>456028</v>
      </c>
      <c r="W626" s="3">
        <v>4689965</v>
      </c>
      <c r="X626" s="25">
        <v>0.143797</v>
      </c>
      <c r="Y626" s="25">
        <v>47.067429</v>
      </c>
      <c r="Z626" s="18"/>
      <c r="AA626" s="19" t="s">
        <v>5176</v>
      </c>
      <c r="AB626" s="11">
        <v>2019</v>
      </c>
      <c r="AC626" s="60">
        <v>43525</v>
      </c>
      <c r="AD626" s="54"/>
      <c r="AE626" s="61" t="s">
        <v>2464</v>
      </c>
    </row>
    <row r="627" spans="1:31" ht="12.75">
      <c r="A627" s="4" t="s">
        <v>2465</v>
      </c>
      <c r="B627" s="1" t="s">
        <v>2391</v>
      </c>
      <c r="C627" s="1" t="s">
        <v>2466</v>
      </c>
      <c r="D627" s="1" t="s">
        <v>2467</v>
      </c>
      <c r="E627" s="2">
        <v>1728</v>
      </c>
      <c r="F627" s="2">
        <v>71</v>
      </c>
      <c r="G627" s="3" t="s">
        <v>2468</v>
      </c>
      <c r="H627" s="3" t="s">
        <v>2469</v>
      </c>
      <c r="I627" s="3" t="s">
        <v>2470</v>
      </c>
      <c r="J627" s="44" t="str">
        <f>HYPERLINK("https://www.centcols.org/util/geo/visuGen.php?code=FR-66-1728","FR-66-1728")</f>
        <v>FR-66-1728</v>
      </c>
      <c r="K627" s="3" t="s">
        <v>2471</v>
      </c>
      <c r="L627" s="1" t="s">
        <v>5157</v>
      </c>
      <c r="M627" s="8">
        <v>0</v>
      </c>
      <c r="N627" s="8">
        <v>0</v>
      </c>
      <c r="O627" s="4"/>
      <c r="P627" s="3"/>
      <c r="Q627" s="3" t="s">
        <v>2472</v>
      </c>
      <c r="R627" s="3" t="s">
        <v>2473</v>
      </c>
      <c r="S627" s="25">
        <v>2.02099807208087</v>
      </c>
      <c r="T627" s="25">
        <v>42.5016229485417</v>
      </c>
      <c r="U627" s="2">
        <v>31</v>
      </c>
      <c r="V627" s="3">
        <v>419561</v>
      </c>
      <c r="W627" s="3">
        <v>4705938</v>
      </c>
      <c r="X627" s="25">
        <v>-0.35065720245544746</v>
      </c>
      <c r="Y627" s="25">
        <v>47.22401132170079</v>
      </c>
      <c r="Z627" s="6"/>
      <c r="AA627" s="7" t="s">
        <v>5138</v>
      </c>
      <c r="AB627" s="8">
        <v>2008</v>
      </c>
      <c r="AC627" s="9"/>
      <c r="AD627" s="10">
        <v>1</v>
      </c>
      <c r="AE627" s="31" t="s">
        <v>2474</v>
      </c>
    </row>
    <row r="628" spans="1:31" ht="12.75">
      <c r="A628" s="4" t="s">
        <v>2475</v>
      </c>
      <c r="B628" s="1" t="s">
        <v>2476</v>
      </c>
      <c r="C628" s="1" t="s">
        <v>2477</v>
      </c>
      <c r="D628" s="1" t="s">
        <v>2478</v>
      </c>
      <c r="E628" s="2">
        <v>1825</v>
      </c>
      <c r="F628" s="2">
        <v>71</v>
      </c>
      <c r="G628" s="3" t="s">
        <v>2468</v>
      </c>
      <c r="H628" s="3" t="s">
        <v>2479</v>
      </c>
      <c r="I628" s="3" t="s">
        <v>2480</v>
      </c>
      <c r="J628" s="44" t="str">
        <f>HYPERLINK("https://www.centcols.org/util/geo/visuGen.php?code=FR-66-1825a","FR-66-1825a")</f>
        <v>FR-66-1825a</v>
      </c>
      <c r="K628" s="3"/>
      <c r="L628" s="1" t="s">
        <v>5661</v>
      </c>
      <c r="M628" s="8">
        <v>2</v>
      </c>
      <c r="N628" s="8">
        <v>15</v>
      </c>
      <c r="O628" s="4"/>
      <c r="P628" s="3"/>
      <c r="Q628" s="3" t="s">
        <v>2481</v>
      </c>
      <c r="R628" s="3" t="s">
        <v>2482</v>
      </c>
      <c r="S628" s="25">
        <v>2.035727423859861</v>
      </c>
      <c r="T628" s="25">
        <v>42.51152416849955</v>
      </c>
      <c r="U628" s="2">
        <v>31</v>
      </c>
      <c r="V628" s="3">
        <v>420784</v>
      </c>
      <c r="W628" s="3">
        <v>4707023</v>
      </c>
      <c r="X628" s="25">
        <v>-0.33427218317647067</v>
      </c>
      <c r="Y628" s="25">
        <v>47.235</v>
      </c>
      <c r="Z628" s="6"/>
      <c r="AA628" s="7" t="s">
        <v>5176</v>
      </c>
      <c r="AB628" s="8" t="s">
        <v>5802</v>
      </c>
      <c r="AC628" s="9"/>
      <c r="AD628" s="10">
        <v>1</v>
      </c>
      <c r="AE628" s="31" t="s">
        <v>2483</v>
      </c>
    </row>
    <row r="629" spans="1:31" ht="22.5">
      <c r="A629" s="4" t="s">
        <v>2484</v>
      </c>
      <c r="B629" s="1" t="s">
        <v>2485</v>
      </c>
      <c r="C629" s="1" t="s">
        <v>2486</v>
      </c>
      <c r="D629" s="1" t="s">
        <v>2487</v>
      </c>
      <c r="E629" s="2">
        <v>1870</v>
      </c>
      <c r="F629" s="2">
        <v>71</v>
      </c>
      <c r="G629" s="3" t="s">
        <v>2468</v>
      </c>
      <c r="H629" s="3" t="s">
        <v>2488</v>
      </c>
      <c r="I629" s="3" t="s">
        <v>2489</v>
      </c>
      <c r="J629" s="44" t="str">
        <f>HYPERLINK("https://www.centcols.org/util/geo/visuGen.php?code=FR-66-1870","FR-66-1870")</f>
        <v>FR-66-1870</v>
      </c>
      <c r="K629" s="3"/>
      <c r="L629" s="1" t="s">
        <v>5176</v>
      </c>
      <c r="M629" s="8">
        <v>99</v>
      </c>
      <c r="N629" s="8">
        <v>15</v>
      </c>
      <c r="O629" s="4"/>
      <c r="P629" s="3"/>
      <c r="Q629" s="3" t="s">
        <v>2490</v>
      </c>
      <c r="R629" s="3" t="s">
        <v>2491</v>
      </c>
      <c r="S629" s="25">
        <v>2.070710026229046</v>
      </c>
      <c r="T629" s="25">
        <v>42.64592734634348</v>
      </c>
      <c r="U629" s="2">
        <v>31</v>
      </c>
      <c r="V629" s="3">
        <v>423821</v>
      </c>
      <c r="W629" s="3">
        <v>4721915</v>
      </c>
      <c r="X629" s="25">
        <v>-0.29541904157868865</v>
      </c>
      <c r="Y629" s="25">
        <v>47.38435364816311</v>
      </c>
      <c r="Z629" s="6"/>
      <c r="AA629" s="7" t="s">
        <v>5138</v>
      </c>
      <c r="AB629" s="8" t="s">
        <v>5571</v>
      </c>
      <c r="AC629" s="9">
        <v>41387</v>
      </c>
      <c r="AD629" s="10">
        <v>31</v>
      </c>
      <c r="AE629" s="31" t="s">
        <v>2492</v>
      </c>
    </row>
    <row r="630" spans="1:31" ht="12.75">
      <c r="A630" s="85" t="s">
        <v>6927</v>
      </c>
      <c r="B630" s="86" t="s">
        <v>5741</v>
      </c>
      <c r="C630" s="86" t="s">
        <v>6193</v>
      </c>
      <c r="D630" s="86" t="s">
        <v>3149</v>
      </c>
      <c r="E630" s="87">
        <v>1895</v>
      </c>
      <c r="F630" s="87">
        <v>71</v>
      </c>
      <c r="G630" s="88" t="s">
        <v>2468</v>
      </c>
      <c r="H630" s="88" t="s">
        <v>6928</v>
      </c>
      <c r="I630" s="88" t="s">
        <v>6929</v>
      </c>
      <c r="J630" s="84" t="str">
        <f>HYPERLINK("https://www.centcols.org/util/geo/visuGen.php?code=FR-66-1901","FR-66-1901")</f>
        <v>FR-66-1901</v>
      </c>
      <c r="K630" s="88"/>
      <c r="L630" s="55"/>
      <c r="M630" s="87">
        <v>99</v>
      </c>
      <c r="N630" s="87">
        <v>20</v>
      </c>
      <c r="O630" s="88"/>
      <c r="P630" s="88"/>
      <c r="Q630" s="88" t="s">
        <v>6930</v>
      </c>
      <c r="R630" s="88" t="s">
        <v>6967</v>
      </c>
      <c r="S630" s="89">
        <v>2.150943</v>
      </c>
      <c r="T630" s="89">
        <v>42.579115</v>
      </c>
      <c r="U630" s="90">
        <v>31</v>
      </c>
      <c r="V630" s="3">
        <v>430324</v>
      </c>
      <c r="W630" s="3">
        <v>4714427</v>
      </c>
      <c r="X630" s="89">
        <v>-0.206276</v>
      </c>
      <c r="Y630" s="89">
        <v>47.310114</v>
      </c>
      <c r="Z630" s="55"/>
      <c r="AA630" s="7" t="s">
        <v>5176</v>
      </c>
      <c r="AB630" s="8">
        <v>2020</v>
      </c>
      <c r="AC630" s="9">
        <v>43974</v>
      </c>
      <c r="AD630" s="92"/>
      <c r="AE630" s="85" t="s">
        <v>6931</v>
      </c>
    </row>
    <row r="631" spans="1:31" ht="22.5">
      <c r="A631" s="18" t="s">
        <v>2493</v>
      </c>
      <c r="B631" s="62" t="s">
        <v>2494</v>
      </c>
      <c r="C631" s="62" t="s">
        <v>2495</v>
      </c>
      <c r="D631" s="62" t="s">
        <v>2496</v>
      </c>
      <c r="E631" s="24">
        <v>2430</v>
      </c>
      <c r="F631" s="24">
        <v>72</v>
      </c>
      <c r="G631" s="24" t="s">
        <v>2497</v>
      </c>
      <c r="H631" s="24" t="s">
        <v>2498</v>
      </c>
      <c r="I631" s="24" t="s">
        <v>2599</v>
      </c>
      <c r="J631" s="44" t="str">
        <f>HYPERLINK("https://www.centcols.org/util/geo/visuGen.php?code=FR-66-2430","FR-66-2430")</f>
        <v>FR-66-2430</v>
      </c>
      <c r="K631" s="19"/>
      <c r="L631" s="62" t="s">
        <v>4524</v>
      </c>
      <c r="M631" s="24">
        <v>40</v>
      </c>
      <c r="N631" s="24">
        <v>15</v>
      </c>
      <c r="O631" s="18"/>
      <c r="P631" s="19" t="s">
        <v>2600</v>
      </c>
      <c r="Q631" s="24" t="s">
        <v>2601</v>
      </c>
      <c r="R631" s="24" t="s">
        <v>6968</v>
      </c>
      <c r="S631" s="25">
        <v>2.315775</v>
      </c>
      <c r="T631" s="25">
        <v>42.426802</v>
      </c>
      <c r="U631" s="24">
        <v>31</v>
      </c>
      <c r="V631" s="3">
        <v>443714</v>
      </c>
      <c r="W631" s="3">
        <v>4697392</v>
      </c>
      <c r="X631" s="25">
        <v>-0.02314</v>
      </c>
      <c r="Y631" s="25">
        <v>47.14087</v>
      </c>
      <c r="Z631" s="18"/>
      <c r="AA631" s="19" t="s">
        <v>5176</v>
      </c>
      <c r="AB631" s="11">
        <v>2019</v>
      </c>
      <c r="AC631" s="60">
        <v>43525</v>
      </c>
      <c r="AD631" s="54"/>
      <c r="AE631" s="61" t="s">
        <v>2602</v>
      </c>
    </row>
    <row r="632" spans="1:31" ht="12.75">
      <c r="A632" s="18" t="s">
        <v>2603</v>
      </c>
      <c r="B632" s="20" t="s">
        <v>5262</v>
      </c>
      <c r="C632" s="20" t="s">
        <v>2604</v>
      </c>
      <c r="D632" s="20" t="s">
        <v>2604</v>
      </c>
      <c r="E632" s="19">
        <v>383</v>
      </c>
      <c r="F632" s="14">
        <v>12</v>
      </c>
      <c r="G632" s="19" t="s">
        <v>1520</v>
      </c>
      <c r="H632" s="19" t="s">
        <v>2605</v>
      </c>
      <c r="I632" s="19" t="s">
        <v>2606</v>
      </c>
      <c r="J632" s="44" t="str">
        <f>HYPERLINK("https://www.centcols.org/util/geo/visuGen.php?code=FR-67-0383","FR-67-0383")</f>
        <v>FR-67-0383</v>
      </c>
      <c r="K632" s="19" t="s">
        <v>2607</v>
      </c>
      <c r="L632" s="20" t="s">
        <v>3819</v>
      </c>
      <c r="M632" s="19">
        <v>0</v>
      </c>
      <c r="N632" s="19">
        <v>0</v>
      </c>
      <c r="O632" s="18"/>
      <c r="P632" s="19"/>
      <c r="Q632" s="19" t="s">
        <v>2608</v>
      </c>
      <c r="R632" s="19" t="s">
        <v>2609</v>
      </c>
      <c r="S632" s="59">
        <v>2.499283</v>
      </c>
      <c r="T632" s="59">
        <v>43.594457</v>
      </c>
      <c r="U632" s="19">
        <v>31</v>
      </c>
      <c r="V632" s="3">
        <v>459583</v>
      </c>
      <c r="W632" s="3">
        <v>4826953</v>
      </c>
      <c r="X632" s="59">
        <v>0.180776</v>
      </c>
      <c r="Y632" s="119">
        <v>48.438295</v>
      </c>
      <c r="Z632" s="18"/>
      <c r="AA632" s="19" t="s">
        <v>5138</v>
      </c>
      <c r="AB632" s="11">
        <v>2018</v>
      </c>
      <c r="AC632" s="12">
        <v>43250</v>
      </c>
      <c r="AD632" s="54"/>
      <c r="AE632" s="23" t="s">
        <v>2610</v>
      </c>
    </row>
    <row r="633" spans="1:31" ht="12.75">
      <c r="A633" s="4" t="s">
        <v>2611</v>
      </c>
      <c r="B633" s="1" t="s">
        <v>5262</v>
      </c>
      <c r="C633" s="1" t="s">
        <v>2612</v>
      </c>
      <c r="D633" s="1" t="s">
        <v>2612</v>
      </c>
      <c r="E633" s="2">
        <v>486</v>
      </c>
      <c r="F633" s="2">
        <v>31</v>
      </c>
      <c r="G633" s="3" t="s">
        <v>2613</v>
      </c>
      <c r="H633" s="3" t="s">
        <v>2614</v>
      </c>
      <c r="I633" s="3" t="s">
        <v>2615</v>
      </c>
      <c r="J633" s="44" t="str">
        <f>HYPERLINK("https://www.centcols.org/util/geo/visuGen.php?code=FR-67-0486","FR-67-0486")</f>
        <v>FR-67-0486</v>
      </c>
      <c r="K633" s="3" t="s">
        <v>2616</v>
      </c>
      <c r="L633" s="1" t="s">
        <v>5157</v>
      </c>
      <c r="M633" s="8">
        <v>0</v>
      </c>
      <c r="N633" s="8">
        <v>0</v>
      </c>
      <c r="O633" s="4"/>
      <c r="P633" s="3"/>
      <c r="Q633" s="3" t="s">
        <v>2617</v>
      </c>
      <c r="R633" s="3" t="s">
        <v>2618</v>
      </c>
      <c r="S633" s="25">
        <v>7.3983601171536675</v>
      </c>
      <c r="T633" s="25">
        <v>48.40562342140408</v>
      </c>
      <c r="U633" s="2">
        <v>32</v>
      </c>
      <c r="V633" s="3">
        <v>381466</v>
      </c>
      <c r="W633" s="3">
        <v>5362624</v>
      </c>
      <c r="X633" s="25">
        <v>5.6240690424977124</v>
      </c>
      <c r="Y633" s="25">
        <v>53.78409094778204</v>
      </c>
      <c r="Z633" s="6"/>
      <c r="AA633" s="7" t="s">
        <v>5138</v>
      </c>
      <c r="AB633" s="8">
        <v>2007</v>
      </c>
      <c r="AC633" s="9"/>
      <c r="AD633" s="10">
        <v>1</v>
      </c>
      <c r="AE633" s="31" t="s">
        <v>2619</v>
      </c>
    </row>
    <row r="634" spans="1:31" ht="12.75">
      <c r="A634" s="4" t="s">
        <v>2620</v>
      </c>
      <c r="B634" s="1" t="s">
        <v>2621</v>
      </c>
      <c r="C634" s="1" t="s">
        <v>2622</v>
      </c>
      <c r="D634" s="1" t="s">
        <v>2623</v>
      </c>
      <c r="E634" s="2">
        <v>754</v>
      </c>
      <c r="F634" s="2">
        <v>31</v>
      </c>
      <c r="G634" s="3" t="s">
        <v>2624</v>
      </c>
      <c r="H634" s="3" t="s">
        <v>2625</v>
      </c>
      <c r="I634" s="3" t="s">
        <v>2626</v>
      </c>
      <c r="J634" s="44" t="str">
        <f>HYPERLINK("https://www.centcols.org/util/geo/visuGen.php?code=FR-67-0754","FR-67-0754")</f>
        <v>FR-67-0754</v>
      </c>
      <c r="K634" s="3" t="s">
        <v>2627</v>
      </c>
      <c r="L634" s="1" t="s">
        <v>3819</v>
      </c>
      <c r="M634" s="8">
        <v>0</v>
      </c>
      <c r="N634" s="8">
        <v>0</v>
      </c>
      <c r="O634" s="4"/>
      <c r="P634" s="3"/>
      <c r="Q634" s="3" t="s">
        <v>2628</v>
      </c>
      <c r="R634" s="3" t="s">
        <v>2629</v>
      </c>
      <c r="S634" s="25">
        <v>7.308786737014809</v>
      </c>
      <c r="T634" s="25">
        <v>48.300008818055616</v>
      </c>
      <c r="U634" s="2">
        <v>32</v>
      </c>
      <c r="V634" s="3">
        <v>374578</v>
      </c>
      <c r="W634" s="3">
        <v>5351028</v>
      </c>
      <c r="X634" s="25">
        <v>5.524545319409052</v>
      </c>
      <c r="Y634" s="25">
        <v>53.66674092904803</v>
      </c>
      <c r="Z634" s="6"/>
      <c r="AA634" s="7" t="s">
        <v>5138</v>
      </c>
      <c r="AB634" s="8">
        <v>2008</v>
      </c>
      <c r="AC634" s="9"/>
      <c r="AD634" s="10">
        <v>1</v>
      </c>
      <c r="AE634" s="31" t="s">
        <v>2630</v>
      </c>
    </row>
    <row r="635" spans="1:31" ht="12.75">
      <c r="A635" s="4" t="s">
        <v>2631</v>
      </c>
      <c r="B635" s="1" t="s">
        <v>5612</v>
      </c>
      <c r="C635" s="1" t="s">
        <v>2632</v>
      </c>
      <c r="D635" s="1" t="s">
        <v>2633</v>
      </c>
      <c r="E635" s="2">
        <v>854</v>
      </c>
      <c r="F635" s="2">
        <v>12</v>
      </c>
      <c r="G635" s="3" t="s">
        <v>2634</v>
      </c>
      <c r="H635" s="3" t="s">
        <v>2635</v>
      </c>
      <c r="I635" s="3" t="s">
        <v>2636</v>
      </c>
      <c r="J635" s="44" t="str">
        <f>HYPERLINK("https://www.centcols.org/util/geo/visuGen.php?code=FR-67-0858","FR-67-0858")</f>
        <v>FR-67-0858</v>
      </c>
      <c r="K635" s="3"/>
      <c r="L635" s="1" t="s">
        <v>2637</v>
      </c>
      <c r="M635" s="8">
        <v>2</v>
      </c>
      <c r="N635" s="8">
        <v>15</v>
      </c>
      <c r="O635" s="4"/>
      <c r="P635" s="3"/>
      <c r="Q635" s="3" t="s">
        <v>2638</v>
      </c>
      <c r="R635" s="3" t="s">
        <v>2639</v>
      </c>
      <c r="S635" s="25">
        <v>7.254748155434866</v>
      </c>
      <c r="T635" s="25">
        <v>48.550945278852026</v>
      </c>
      <c r="U635" s="2">
        <v>32</v>
      </c>
      <c r="V635" s="3">
        <v>371207</v>
      </c>
      <c r="W635" s="3">
        <v>5379009</v>
      </c>
      <c r="X635" s="25">
        <v>5.4645081340663735</v>
      </c>
      <c r="Y635" s="25">
        <v>53.94556336918252</v>
      </c>
      <c r="Z635" s="6"/>
      <c r="AA635" s="7" t="s">
        <v>5176</v>
      </c>
      <c r="AB635" s="8" t="s">
        <v>6740</v>
      </c>
      <c r="AC635" s="9"/>
      <c r="AD635" s="10">
        <v>1</v>
      </c>
      <c r="AE635" s="31" t="s">
        <v>2640</v>
      </c>
    </row>
    <row r="636" spans="1:31" ht="12.75">
      <c r="A636" s="4" t="s">
        <v>2641</v>
      </c>
      <c r="B636" s="1" t="s">
        <v>3118</v>
      </c>
      <c r="C636" s="1" t="s">
        <v>2642</v>
      </c>
      <c r="D636" s="1" t="s">
        <v>2643</v>
      </c>
      <c r="E636" s="2">
        <v>343</v>
      </c>
      <c r="F636" s="2">
        <v>31</v>
      </c>
      <c r="G636" s="3" t="s">
        <v>2644</v>
      </c>
      <c r="H636" s="3" t="s">
        <v>2645</v>
      </c>
      <c r="I636" s="3" t="s">
        <v>2646</v>
      </c>
      <c r="J636" s="44" t="str">
        <f>HYPERLINK("https://www.centcols.org/util/geo/visuGen.php?code=FR-68-0343","FR-68-0343")</f>
        <v>FR-68-0343</v>
      </c>
      <c r="K636" s="3" t="s">
        <v>2647</v>
      </c>
      <c r="L636" s="1" t="s">
        <v>2648</v>
      </c>
      <c r="M636" s="8">
        <v>0</v>
      </c>
      <c r="N636" s="8">
        <v>0</v>
      </c>
      <c r="O636" s="4"/>
      <c r="P636" s="3"/>
      <c r="Q636" s="3" t="s">
        <v>2649</v>
      </c>
      <c r="R636" s="3" t="s">
        <v>2650</v>
      </c>
      <c r="S636" s="25">
        <v>7.056596461808606</v>
      </c>
      <c r="T636" s="25">
        <v>47.6315696461783</v>
      </c>
      <c r="U636" s="2">
        <v>32</v>
      </c>
      <c r="V636" s="3">
        <v>354004</v>
      </c>
      <c r="W636" s="3">
        <v>5277182</v>
      </c>
      <c r="X636" s="25">
        <v>5.244332136641785</v>
      </c>
      <c r="Y636" s="25">
        <v>52.9240184376105</v>
      </c>
      <c r="Z636" s="6"/>
      <c r="AA636" s="7" t="s">
        <v>5138</v>
      </c>
      <c r="AB636" s="8">
        <v>2008</v>
      </c>
      <c r="AC636" s="9"/>
      <c r="AD636" s="10">
        <v>1</v>
      </c>
      <c r="AE636" s="31" t="s">
        <v>2651</v>
      </c>
    </row>
    <row r="637" spans="1:31" ht="22.5">
      <c r="A637" s="18" t="s">
        <v>2652</v>
      </c>
      <c r="B637" s="62" t="s">
        <v>2653</v>
      </c>
      <c r="C637" s="62" t="s">
        <v>2654</v>
      </c>
      <c r="D637" s="62" t="s">
        <v>2655</v>
      </c>
      <c r="E637" s="24">
        <v>353</v>
      </c>
      <c r="F637" s="24">
        <v>31</v>
      </c>
      <c r="G637" s="24" t="s">
        <v>2656</v>
      </c>
      <c r="H637" s="24" t="s">
        <v>2657</v>
      </c>
      <c r="I637" s="24" t="s">
        <v>2658</v>
      </c>
      <c r="J637" s="44" t="str">
        <f>HYPERLINK("https://www.centcols.org/util/geo/visuGen.php?code=FR-68-0353","FR-68-0353")</f>
        <v>FR-68-0353</v>
      </c>
      <c r="K637" s="19" t="s">
        <v>2659</v>
      </c>
      <c r="L637" s="20" t="s">
        <v>5157</v>
      </c>
      <c r="M637" s="24">
        <v>0</v>
      </c>
      <c r="N637" s="19">
        <v>0</v>
      </c>
      <c r="O637" s="18"/>
      <c r="P637" s="19"/>
      <c r="Q637" s="24" t="s">
        <v>2660</v>
      </c>
      <c r="R637" s="24" t="s">
        <v>7012</v>
      </c>
      <c r="S637" s="25">
        <v>7.270579</v>
      </c>
      <c r="T637" s="25">
        <v>47.967896</v>
      </c>
      <c r="U637" s="24">
        <v>32</v>
      </c>
      <c r="V637" s="3">
        <v>370915</v>
      </c>
      <c r="W637" s="3">
        <v>5314179</v>
      </c>
      <c r="X637" s="25">
        <v>5.482089</v>
      </c>
      <c r="Y637" s="25">
        <v>53.297721</v>
      </c>
      <c r="Z637" s="18"/>
      <c r="AA637" s="19" t="s">
        <v>5138</v>
      </c>
      <c r="AB637" s="11">
        <v>2019</v>
      </c>
      <c r="AC637" s="60">
        <v>43525</v>
      </c>
      <c r="AD637" s="54"/>
      <c r="AE637" s="61" t="s">
        <v>2661</v>
      </c>
    </row>
    <row r="638" spans="1:31" ht="12.75">
      <c r="A638" s="18" t="s">
        <v>2662</v>
      </c>
      <c r="B638" s="62" t="s">
        <v>5262</v>
      </c>
      <c r="C638" s="62" t="s">
        <v>2663</v>
      </c>
      <c r="D638" s="62" t="s">
        <v>2663</v>
      </c>
      <c r="E638" s="24">
        <v>496</v>
      </c>
      <c r="F638" s="24">
        <v>31</v>
      </c>
      <c r="G638" s="24" t="s">
        <v>2664</v>
      </c>
      <c r="H638" s="24" t="s">
        <v>2665</v>
      </c>
      <c r="I638" s="24" t="s">
        <v>2666</v>
      </c>
      <c r="J638" s="44" t="str">
        <f>HYPERLINK("https://www.centcols.org/util/geo/visuGen.php?code=FR-68-0496","FR-68-0496")</f>
        <v>FR-68-0496</v>
      </c>
      <c r="K638" s="19"/>
      <c r="L638" s="20" t="s">
        <v>5246</v>
      </c>
      <c r="M638" s="24">
        <v>1</v>
      </c>
      <c r="N638" s="19">
        <v>10</v>
      </c>
      <c r="O638" s="18"/>
      <c r="P638" s="19"/>
      <c r="Q638" s="24" t="s">
        <v>2667</v>
      </c>
      <c r="R638" s="24" t="s">
        <v>7013</v>
      </c>
      <c r="S638" s="25">
        <v>7.367147</v>
      </c>
      <c r="T638" s="25">
        <v>47.493508</v>
      </c>
      <c r="U638" s="24">
        <v>32</v>
      </c>
      <c r="V638" s="3">
        <v>377011</v>
      </c>
      <c r="W638" s="3">
        <v>5261300</v>
      </c>
      <c r="X638" s="25">
        <v>5.589374</v>
      </c>
      <c r="Y638" s="25">
        <v>52.770611</v>
      </c>
      <c r="Z638" s="18"/>
      <c r="AA638" s="19" t="s">
        <v>5138</v>
      </c>
      <c r="AB638" s="11">
        <v>2019</v>
      </c>
      <c r="AC638" s="60">
        <v>43525</v>
      </c>
      <c r="AD638" s="54"/>
      <c r="AE638" s="61" t="s">
        <v>2668</v>
      </c>
    </row>
    <row r="639" spans="1:31" ht="12.75">
      <c r="A639" s="4" t="s">
        <v>2669</v>
      </c>
      <c r="B639" s="1" t="s">
        <v>5262</v>
      </c>
      <c r="C639" s="1" t="s">
        <v>2670</v>
      </c>
      <c r="D639" s="1" t="s">
        <v>2670</v>
      </c>
      <c r="E639" s="2">
        <v>1280</v>
      </c>
      <c r="F639" s="2">
        <v>31</v>
      </c>
      <c r="G639" s="3" t="s">
        <v>2671</v>
      </c>
      <c r="H639" s="3" t="s">
        <v>2672</v>
      </c>
      <c r="I639" s="3" t="s">
        <v>2673</v>
      </c>
      <c r="J639" s="44" t="str">
        <f>HYPERLINK("https://www.centcols.org/util/geo/visuGen.php?code=FR-68-1280a","FR-68-1280a")</f>
        <v>FR-68-1280a</v>
      </c>
      <c r="K639" s="3" t="s">
        <v>2674</v>
      </c>
      <c r="L639" s="1" t="s">
        <v>6071</v>
      </c>
      <c r="M639" s="8">
        <v>0</v>
      </c>
      <c r="N639" s="8">
        <v>0</v>
      </c>
      <c r="O639" s="4"/>
      <c r="P639" s="3"/>
      <c r="Q639" s="3" t="s">
        <v>2675</v>
      </c>
      <c r="R639" s="3" t="s">
        <v>2676</v>
      </c>
      <c r="S639" s="25">
        <v>7.026815193429806</v>
      </c>
      <c r="T639" s="25">
        <v>47.946485223824965</v>
      </c>
      <c r="U639" s="2">
        <v>32</v>
      </c>
      <c r="V639" s="3">
        <v>352660</v>
      </c>
      <c r="W639" s="3">
        <v>5312236</v>
      </c>
      <c r="X639" s="25">
        <v>5.21124800758607</v>
      </c>
      <c r="Y639" s="25">
        <v>53.2739332034924</v>
      </c>
      <c r="Z639" s="6"/>
      <c r="AA639" s="7" t="s">
        <v>5138</v>
      </c>
      <c r="AB639" s="8">
        <v>2008</v>
      </c>
      <c r="AC639" s="9"/>
      <c r="AD639" s="10">
        <v>1</v>
      </c>
      <c r="AE639" s="31" t="s">
        <v>5767</v>
      </c>
    </row>
    <row r="640" spans="1:31" ht="12.75">
      <c r="A640" s="4" t="s">
        <v>2677</v>
      </c>
      <c r="B640" s="1" t="s">
        <v>5262</v>
      </c>
      <c r="C640" s="1" t="s">
        <v>2705</v>
      </c>
      <c r="D640" s="1" t="s">
        <v>2705</v>
      </c>
      <c r="E640" s="2">
        <v>552</v>
      </c>
      <c r="F640" s="2">
        <v>43</v>
      </c>
      <c r="G640" s="3" t="s">
        <v>2706</v>
      </c>
      <c r="H640" s="3" t="s">
        <v>2707</v>
      </c>
      <c r="I640" s="3" t="s">
        <v>2708</v>
      </c>
      <c r="J640" s="44" t="str">
        <f>HYPERLINK("https://www.centcols.org/util/geo/visuGen.php?code=FR-69-0552","FR-69-0552")</f>
        <v>FR-69-0552</v>
      </c>
      <c r="K640" s="3" t="s">
        <v>2709</v>
      </c>
      <c r="L640" s="1" t="s">
        <v>2710</v>
      </c>
      <c r="M640" s="8">
        <v>0</v>
      </c>
      <c r="N640" s="8">
        <v>0</v>
      </c>
      <c r="O640" s="4"/>
      <c r="P640" s="3"/>
      <c r="Q640" s="3" t="s">
        <v>2711</v>
      </c>
      <c r="R640" s="3" t="s">
        <v>2712</v>
      </c>
      <c r="S640" s="25">
        <v>4.58336659488985</v>
      </c>
      <c r="T640" s="25">
        <v>45.97813203369432</v>
      </c>
      <c r="U640" s="2">
        <v>31</v>
      </c>
      <c r="V640" s="3">
        <v>622652</v>
      </c>
      <c r="W640" s="3">
        <v>5092837</v>
      </c>
      <c r="X640" s="25">
        <v>2.496372447528092</v>
      </c>
      <c r="Y640" s="25">
        <v>51.08685007093813</v>
      </c>
      <c r="Z640" s="6"/>
      <c r="AA640" s="7" t="s">
        <v>5138</v>
      </c>
      <c r="AB640" s="8">
        <v>2002</v>
      </c>
      <c r="AC640" s="9"/>
      <c r="AD640" s="10">
        <v>1</v>
      </c>
      <c r="AE640" s="31" t="s">
        <v>2713</v>
      </c>
    </row>
    <row r="641" spans="1:31" ht="22.5">
      <c r="A641" s="4" t="s">
        <v>2714</v>
      </c>
      <c r="B641" s="1" t="s">
        <v>2715</v>
      </c>
      <c r="C641" s="1" t="s">
        <v>2716</v>
      </c>
      <c r="D641" s="1" t="s">
        <v>2717</v>
      </c>
      <c r="E641" s="2">
        <v>578</v>
      </c>
      <c r="F641" s="2">
        <v>43</v>
      </c>
      <c r="G641" s="3" t="s">
        <v>2718</v>
      </c>
      <c r="H641" s="3" t="s">
        <v>2719</v>
      </c>
      <c r="I641" s="3" t="s">
        <v>2720</v>
      </c>
      <c r="J641" s="44" t="str">
        <f>HYPERLINK("https://www.centcols.org/util/geo/visuGen.php?code=FR-69-0578","FR-69-0578")</f>
        <v>FR-69-0578</v>
      </c>
      <c r="K641" s="3" t="s">
        <v>2721</v>
      </c>
      <c r="L641" s="1" t="s">
        <v>2722</v>
      </c>
      <c r="M641" s="8">
        <v>0</v>
      </c>
      <c r="N641" s="8">
        <v>0</v>
      </c>
      <c r="O641" s="4"/>
      <c r="P641" s="3"/>
      <c r="Q641" s="3" t="s">
        <v>2723</v>
      </c>
      <c r="R641" s="3" t="s">
        <v>2724</v>
      </c>
      <c r="S641" s="25">
        <v>4.313167347482443</v>
      </c>
      <c r="T641" s="25">
        <v>45.95482006365347</v>
      </c>
      <c r="U641" s="2">
        <v>31</v>
      </c>
      <c r="V641" s="3">
        <v>601764</v>
      </c>
      <c r="W641" s="3">
        <v>5089866</v>
      </c>
      <c r="X641" s="25">
        <v>2.1961656531752127</v>
      </c>
      <c r="Y641" s="25">
        <v>51.06094793071044</v>
      </c>
      <c r="Z641" s="6"/>
      <c r="AA641" s="7" t="s">
        <v>5138</v>
      </c>
      <c r="AB641" s="8">
        <v>2002</v>
      </c>
      <c r="AC641" s="9"/>
      <c r="AD641" s="10">
        <v>1</v>
      </c>
      <c r="AE641" s="31" t="s">
        <v>3943</v>
      </c>
    </row>
    <row r="642" spans="1:31" ht="12.75">
      <c r="A642" s="4" t="s">
        <v>2725</v>
      </c>
      <c r="B642" s="1" t="s">
        <v>5128</v>
      </c>
      <c r="C642" s="1" t="s">
        <v>2726</v>
      </c>
      <c r="D642" s="1" t="s">
        <v>2727</v>
      </c>
      <c r="E642" s="2">
        <v>602</v>
      </c>
      <c r="F642" s="2">
        <v>43</v>
      </c>
      <c r="G642" s="3" t="s">
        <v>2728</v>
      </c>
      <c r="H642" s="3" t="s">
        <v>2729</v>
      </c>
      <c r="I642" s="3" t="s">
        <v>2730</v>
      </c>
      <c r="J642" s="44" t="str">
        <f>HYPERLINK("https://www.centcols.org/util/geo/visuGen.php?code=FR-69-0602c","FR-69-0602c")</f>
        <v>FR-69-0602c</v>
      </c>
      <c r="K642" s="3" t="s">
        <v>0</v>
      </c>
      <c r="L642" s="1" t="s">
        <v>1</v>
      </c>
      <c r="M642" s="8">
        <v>0</v>
      </c>
      <c r="N642" s="8">
        <v>0</v>
      </c>
      <c r="O642" s="4"/>
      <c r="P642" s="3"/>
      <c r="Q642" s="3" t="s">
        <v>2</v>
      </c>
      <c r="R642" s="3" t="s">
        <v>3</v>
      </c>
      <c r="S642" s="25">
        <v>4.458923144755551</v>
      </c>
      <c r="T642" s="25">
        <v>46.020723128680814</v>
      </c>
      <c r="U642" s="2">
        <v>31</v>
      </c>
      <c r="V642" s="3">
        <v>612925</v>
      </c>
      <c r="W642" s="3">
        <v>5097385</v>
      </c>
      <c r="X642" s="25">
        <v>2.358109660163835</v>
      </c>
      <c r="Y642" s="25">
        <v>51.1341743359884</v>
      </c>
      <c r="Z642" s="6"/>
      <c r="AA642" s="7" t="s">
        <v>5138</v>
      </c>
      <c r="AB642" s="8">
        <v>2004</v>
      </c>
      <c r="AC642" s="9"/>
      <c r="AD642" s="10">
        <v>1</v>
      </c>
      <c r="AE642" s="31" t="s">
        <v>3943</v>
      </c>
    </row>
    <row r="643" spans="1:31" ht="12.75">
      <c r="A643" s="4" t="s">
        <v>4</v>
      </c>
      <c r="B643" s="1" t="s">
        <v>5262</v>
      </c>
      <c r="C643" s="1" t="s">
        <v>5</v>
      </c>
      <c r="D643" s="1" t="s">
        <v>5</v>
      </c>
      <c r="E643" s="2">
        <v>628</v>
      </c>
      <c r="F643" s="2">
        <v>43</v>
      </c>
      <c r="G643" s="3" t="s">
        <v>2706</v>
      </c>
      <c r="H643" s="3" t="s">
        <v>6</v>
      </c>
      <c r="I643" s="3" t="s">
        <v>7</v>
      </c>
      <c r="J643" s="44" t="str">
        <f>HYPERLINK("https://www.centcols.org/util/geo/visuGen.php?code=FR-69-0628","FR-69-0628")</f>
        <v>FR-69-0628</v>
      </c>
      <c r="K643" s="3" t="s">
        <v>8</v>
      </c>
      <c r="L643" s="1" t="s">
        <v>9</v>
      </c>
      <c r="M643" s="8">
        <v>0</v>
      </c>
      <c r="N643" s="8">
        <v>0</v>
      </c>
      <c r="O643" s="4"/>
      <c r="P643" s="3"/>
      <c r="Q643" s="3" t="s">
        <v>10</v>
      </c>
      <c r="R643" s="3" t="s">
        <v>11</v>
      </c>
      <c r="S643" s="25">
        <v>4.561972669133362</v>
      </c>
      <c r="T643" s="25">
        <v>46.0249431053842</v>
      </c>
      <c r="U643" s="2">
        <v>31</v>
      </c>
      <c r="V643" s="3">
        <v>620892</v>
      </c>
      <c r="W643" s="3">
        <v>5098005</v>
      </c>
      <c r="X643" s="25">
        <v>2.4726035710925047</v>
      </c>
      <c r="Y643" s="25">
        <v>51.13886306563462</v>
      </c>
      <c r="Z643" s="6"/>
      <c r="AA643" s="7" t="s">
        <v>5138</v>
      </c>
      <c r="AB643" s="8">
        <v>2004</v>
      </c>
      <c r="AC643" s="9"/>
      <c r="AD643" s="10">
        <v>1</v>
      </c>
      <c r="AE643" s="31" t="s">
        <v>2713</v>
      </c>
    </row>
    <row r="644" spans="1:31" ht="12.75">
      <c r="A644" s="4" t="s">
        <v>12</v>
      </c>
      <c r="B644" s="1" t="s">
        <v>5262</v>
      </c>
      <c r="C644" s="1" t="s">
        <v>13</v>
      </c>
      <c r="D644" s="1" t="s">
        <v>13</v>
      </c>
      <c r="E644" s="2">
        <v>657</v>
      </c>
      <c r="F644" s="2">
        <v>43</v>
      </c>
      <c r="G644" s="3" t="s">
        <v>2706</v>
      </c>
      <c r="H644" s="3" t="s">
        <v>14</v>
      </c>
      <c r="I644" s="3" t="s">
        <v>15</v>
      </c>
      <c r="J644" s="44" t="str">
        <f>HYPERLINK("https://www.centcols.org/util/geo/visuGen.php?code=FR-69-0657","FR-69-0657")</f>
        <v>FR-69-0657</v>
      </c>
      <c r="K644" s="3" t="s">
        <v>16</v>
      </c>
      <c r="L644" s="1" t="s">
        <v>17</v>
      </c>
      <c r="M644" s="8">
        <v>0</v>
      </c>
      <c r="N644" s="8">
        <v>0</v>
      </c>
      <c r="O644" s="4"/>
      <c r="P644" s="3"/>
      <c r="Q644" s="3" t="s">
        <v>18</v>
      </c>
      <c r="R644" s="3" t="s">
        <v>19</v>
      </c>
      <c r="S644" s="25">
        <v>4.5531722718941765</v>
      </c>
      <c r="T644" s="25">
        <v>46.03155468712735</v>
      </c>
      <c r="U644" s="2">
        <v>31</v>
      </c>
      <c r="V644" s="3">
        <v>620197</v>
      </c>
      <c r="W644" s="3">
        <v>5098726</v>
      </c>
      <c r="X644" s="25">
        <v>2.462825954251883</v>
      </c>
      <c r="Y644" s="25">
        <v>51.1462093710666</v>
      </c>
      <c r="Z644" s="6"/>
      <c r="AA644" s="7" t="s">
        <v>5138</v>
      </c>
      <c r="AB644" s="8">
        <v>2002</v>
      </c>
      <c r="AC644" s="9"/>
      <c r="AD644" s="10">
        <v>1</v>
      </c>
      <c r="AE644" s="31" t="s">
        <v>2713</v>
      </c>
    </row>
    <row r="645" spans="1:31" ht="12.75">
      <c r="A645" s="4" t="s">
        <v>20</v>
      </c>
      <c r="B645" s="1" t="s">
        <v>5262</v>
      </c>
      <c r="C645" s="1" t="s">
        <v>21</v>
      </c>
      <c r="D645" s="1" t="s">
        <v>21</v>
      </c>
      <c r="E645" s="2">
        <v>730</v>
      </c>
      <c r="F645" s="2">
        <v>43</v>
      </c>
      <c r="G645" s="3" t="s">
        <v>2728</v>
      </c>
      <c r="H645" s="3" t="s">
        <v>22</v>
      </c>
      <c r="I645" s="3" t="s">
        <v>23</v>
      </c>
      <c r="J645" s="44" t="str">
        <f>HYPERLINK("https://www.centcols.org/util/geo/visuGen.php?code=FR-69-0730a","FR-69-0730a")</f>
        <v>FR-69-0730a</v>
      </c>
      <c r="K645" s="3" t="s">
        <v>24</v>
      </c>
      <c r="L645" s="1" t="s">
        <v>25</v>
      </c>
      <c r="M645" s="8">
        <v>0</v>
      </c>
      <c r="N645" s="8">
        <v>0</v>
      </c>
      <c r="O645" s="4"/>
      <c r="P645" s="3"/>
      <c r="Q645" s="3" t="s">
        <v>26</v>
      </c>
      <c r="R645" s="3" t="s">
        <v>27</v>
      </c>
      <c r="S645" s="25">
        <v>4.432606173148482</v>
      </c>
      <c r="T645" s="25">
        <v>46.04582802900873</v>
      </c>
      <c r="U645" s="2">
        <v>31</v>
      </c>
      <c r="V645" s="3">
        <v>610838</v>
      </c>
      <c r="W645" s="3">
        <v>5100137</v>
      </c>
      <c r="X645" s="25">
        <v>2.328870499480831</v>
      </c>
      <c r="Y645" s="25">
        <v>51.162069151240296</v>
      </c>
      <c r="Z645" s="6"/>
      <c r="AA645" s="7" t="s">
        <v>5138</v>
      </c>
      <c r="AB645" s="8">
        <v>2002</v>
      </c>
      <c r="AC645" s="9"/>
      <c r="AD645" s="10">
        <v>1</v>
      </c>
      <c r="AE645" s="31" t="s">
        <v>2713</v>
      </c>
    </row>
    <row r="646" spans="1:31" ht="12.75">
      <c r="A646" s="18" t="s">
        <v>28</v>
      </c>
      <c r="B646" s="20" t="s">
        <v>5128</v>
      </c>
      <c r="C646" s="20" t="s">
        <v>29</v>
      </c>
      <c r="D646" s="20" t="s">
        <v>30</v>
      </c>
      <c r="E646" s="19">
        <v>781</v>
      </c>
      <c r="F646" s="14">
        <v>43</v>
      </c>
      <c r="G646" s="19" t="s">
        <v>31</v>
      </c>
      <c r="H646" s="19" t="s">
        <v>32</v>
      </c>
      <c r="I646" s="19" t="s">
        <v>33</v>
      </c>
      <c r="J646" s="44" t="str">
        <f>HYPERLINK("https://www.centcols.org/util/geo/visuGen.php?code=FR-69-0781","FR-69-0781")</f>
        <v>FR-69-0781</v>
      </c>
      <c r="K646" s="19" t="s">
        <v>34</v>
      </c>
      <c r="L646" s="20" t="s">
        <v>35</v>
      </c>
      <c r="M646" s="19">
        <v>0</v>
      </c>
      <c r="N646" s="19">
        <v>0</v>
      </c>
      <c r="O646" s="18"/>
      <c r="P646" s="19"/>
      <c r="Q646" s="19" t="s">
        <v>36</v>
      </c>
      <c r="R646" s="19" t="s">
        <v>37</v>
      </c>
      <c r="S646" s="59">
        <v>4.386064</v>
      </c>
      <c r="T646" s="59">
        <v>45.81954</v>
      </c>
      <c r="U646" s="19">
        <v>31</v>
      </c>
      <c r="V646" s="3">
        <v>607674</v>
      </c>
      <c r="W646" s="3">
        <v>5074932</v>
      </c>
      <c r="X646" s="59">
        <v>2.277155</v>
      </c>
      <c r="Y646" s="59">
        <v>50.910634</v>
      </c>
      <c r="Z646" s="18"/>
      <c r="AA646" s="19" t="s">
        <v>5138</v>
      </c>
      <c r="AB646" s="11">
        <v>2018</v>
      </c>
      <c r="AC646" s="12">
        <v>43250</v>
      </c>
      <c r="AD646" s="54"/>
      <c r="AE646" s="23" t="s">
        <v>4749</v>
      </c>
    </row>
    <row r="647" spans="1:31" ht="12.75">
      <c r="A647" s="4" t="s">
        <v>38</v>
      </c>
      <c r="B647" s="1" t="s">
        <v>5262</v>
      </c>
      <c r="C647" s="1" t="s">
        <v>39</v>
      </c>
      <c r="D647" s="1" t="s">
        <v>39</v>
      </c>
      <c r="E647" s="2">
        <v>845</v>
      </c>
      <c r="F647" s="2">
        <v>51</v>
      </c>
      <c r="G647" s="3" t="s">
        <v>40</v>
      </c>
      <c r="H647" s="3" t="s">
        <v>41</v>
      </c>
      <c r="I647" s="3" t="s">
        <v>42</v>
      </c>
      <c r="J647" s="44" t="str">
        <f>HYPERLINK("https://www.centcols.org/util/geo/visuGen.php?code=FR-69-0845","FR-69-0845")</f>
        <v>FR-69-0845</v>
      </c>
      <c r="K647" s="3" t="s">
        <v>43</v>
      </c>
      <c r="L647" s="1" t="s">
        <v>44</v>
      </c>
      <c r="M647" s="8">
        <v>0</v>
      </c>
      <c r="N647" s="8">
        <v>0</v>
      </c>
      <c r="O647" s="4"/>
      <c r="P647" s="3"/>
      <c r="Q647" s="3" t="s">
        <v>45</v>
      </c>
      <c r="R647" s="3" t="s">
        <v>46</v>
      </c>
      <c r="S647" s="25">
        <v>4.587998</v>
      </c>
      <c r="T647" s="25">
        <v>45.622024</v>
      </c>
      <c r="U647" s="2">
        <v>31</v>
      </c>
      <c r="V647" s="3">
        <v>623797</v>
      </c>
      <c r="W647" s="3">
        <v>5053280</v>
      </c>
      <c r="X647" s="25">
        <v>2.501512</v>
      </c>
      <c r="Y647" s="25">
        <v>50.691167</v>
      </c>
      <c r="Z647" s="6"/>
      <c r="AA647" s="7" t="s">
        <v>5138</v>
      </c>
      <c r="AB647" s="8">
        <v>2011</v>
      </c>
      <c r="AC647" s="9"/>
      <c r="AD647" s="10">
        <v>1</v>
      </c>
      <c r="AE647" s="31" t="s">
        <v>47</v>
      </c>
    </row>
    <row r="648" spans="1:31" ht="12.75">
      <c r="A648" s="4" t="s">
        <v>48</v>
      </c>
      <c r="B648" s="1" t="s">
        <v>5128</v>
      </c>
      <c r="C648" s="1" t="s">
        <v>49</v>
      </c>
      <c r="D648" s="1" t="s">
        <v>50</v>
      </c>
      <c r="E648" s="2">
        <v>845</v>
      </c>
      <c r="F648" s="2">
        <v>51</v>
      </c>
      <c r="G648" s="3" t="s">
        <v>40</v>
      </c>
      <c r="H648" s="3" t="s">
        <v>51</v>
      </c>
      <c r="I648" s="3" t="s">
        <v>52</v>
      </c>
      <c r="J648" s="44" t="str">
        <f>HYPERLINK("https://www.centcols.org/util/geo/visuGen.php?code=FR-69-0846","FR-69-0846")</f>
        <v>FR-69-0846</v>
      </c>
      <c r="K648" s="3"/>
      <c r="L648" s="1" t="s">
        <v>5726</v>
      </c>
      <c r="M648" s="8">
        <v>99</v>
      </c>
      <c r="N648" s="8">
        <v>15</v>
      </c>
      <c r="O648" s="4"/>
      <c r="P648" s="3"/>
      <c r="Q648" s="3" t="s">
        <v>53</v>
      </c>
      <c r="R648" s="3" t="s">
        <v>54</v>
      </c>
      <c r="S648" s="25">
        <v>4.579736737736904</v>
      </c>
      <c r="T648" s="25">
        <v>45.62006969203231</v>
      </c>
      <c r="U648" s="2">
        <v>31</v>
      </c>
      <c r="V648" s="3">
        <v>623157</v>
      </c>
      <c r="W648" s="3">
        <v>5053050</v>
      </c>
      <c r="X648" s="25">
        <v>2.4923332236284446</v>
      </c>
      <c r="Y648" s="25">
        <v>50.688995539041336</v>
      </c>
      <c r="Z648" s="6"/>
      <c r="AA648" s="7" t="s">
        <v>5138</v>
      </c>
      <c r="AB648" s="8">
        <v>2002</v>
      </c>
      <c r="AC648" s="9"/>
      <c r="AD648" s="10">
        <v>1</v>
      </c>
      <c r="AE648" s="31" t="s">
        <v>55</v>
      </c>
    </row>
    <row r="649" spans="1:31" ht="12.75">
      <c r="A649" s="4" t="s">
        <v>56</v>
      </c>
      <c r="B649" s="1" t="s">
        <v>5923</v>
      </c>
      <c r="C649" s="1" t="s">
        <v>57</v>
      </c>
      <c r="D649" s="1" t="s">
        <v>58</v>
      </c>
      <c r="E649" s="2">
        <v>1158</v>
      </c>
      <c r="F649" s="2">
        <v>31</v>
      </c>
      <c r="G649" s="3" t="s">
        <v>59</v>
      </c>
      <c r="H649" s="3" t="s">
        <v>60</v>
      </c>
      <c r="I649" s="3" t="s">
        <v>61</v>
      </c>
      <c r="J649" s="44" t="str">
        <f>HYPERLINK("https://www.centcols.org/util/geo/visuGen.php?code=FR-70-1158","FR-70-1158")</f>
        <v>FR-70-1158</v>
      </c>
      <c r="K649" s="3" t="s">
        <v>62</v>
      </c>
      <c r="L649" s="1" t="s">
        <v>63</v>
      </c>
      <c r="M649" s="8">
        <v>0</v>
      </c>
      <c r="N649" s="8">
        <v>0</v>
      </c>
      <c r="O649" s="4"/>
      <c r="P649" s="3"/>
      <c r="Q649" s="3" t="s">
        <v>64</v>
      </c>
      <c r="R649" s="3" t="s">
        <v>65</v>
      </c>
      <c r="S649" s="25">
        <v>6.787878</v>
      </c>
      <c r="T649" s="25">
        <v>47.822634</v>
      </c>
      <c r="U649" s="2">
        <v>32</v>
      </c>
      <c r="V649" s="3">
        <v>334425</v>
      </c>
      <c r="W649" s="3">
        <v>5298956</v>
      </c>
      <c r="X649" s="25">
        <v>4.945767</v>
      </c>
      <c r="Y649" s="25">
        <v>53.136319</v>
      </c>
      <c r="Z649" s="6"/>
      <c r="AA649" s="7" t="s">
        <v>5138</v>
      </c>
      <c r="AB649" s="8">
        <v>2015</v>
      </c>
      <c r="AC649" s="9">
        <v>42297</v>
      </c>
      <c r="AD649" s="10"/>
      <c r="AE649" s="31" t="s">
        <v>66</v>
      </c>
    </row>
    <row r="650" spans="1:31" ht="12.75">
      <c r="A650" s="4" t="s">
        <v>67</v>
      </c>
      <c r="B650" s="1" t="s">
        <v>5923</v>
      </c>
      <c r="C650" s="1" t="s">
        <v>6193</v>
      </c>
      <c r="D650" s="1" t="s">
        <v>68</v>
      </c>
      <c r="E650" s="2">
        <v>421</v>
      </c>
      <c r="F650" s="2">
        <v>43</v>
      </c>
      <c r="G650" s="3" t="s">
        <v>69</v>
      </c>
      <c r="H650" s="3" t="s">
        <v>70</v>
      </c>
      <c r="I650" s="3" t="s">
        <v>71</v>
      </c>
      <c r="J650" s="44" t="str">
        <f>HYPERLINK("https://www.centcols.org/util/geo/visuGen.php?code=FR-71-0421a","FR-71-0421a")</f>
        <v>FR-71-0421a</v>
      </c>
      <c r="K650" s="3" t="s">
        <v>72</v>
      </c>
      <c r="L650" s="1" t="s">
        <v>73</v>
      </c>
      <c r="M650" s="8">
        <v>0</v>
      </c>
      <c r="N650" s="8">
        <v>0</v>
      </c>
      <c r="O650" s="4"/>
      <c r="P650" s="3"/>
      <c r="Q650" s="3" t="s">
        <v>74</v>
      </c>
      <c r="R650" s="3" t="s">
        <v>75</v>
      </c>
      <c r="S650" s="25">
        <v>4.627962</v>
      </c>
      <c r="T650" s="25">
        <v>46.459636</v>
      </c>
      <c r="U650" s="2">
        <v>31</v>
      </c>
      <c r="V650" s="3">
        <v>625008</v>
      </c>
      <c r="W650" s="3">
        <v>5146406</v>
      </c>
      <c r="X650" s="25">
        <v>2.54593</v>
      </c>
      <c r="Y650" s="25">
        <v>51.622</v>
      </c>
      <c r="Z650" s="6"/>
      <c r="AA650" s="7" t="s">
        <v>5138</v>
      </c>
      <c r="AB650" s="8">
        <v>2011</v>
      </c>
      <c r="AC650" s="9"/>
      <c r="AD650" s="10">
        <v>1</v>
      </c>
      <c r="AE650" s="31" t="s">
        <v>76</v>
      </c>
    </row>
    <row r="651" spans="1:31" ht="12.75">
      <c r="A651" s="4" t="s">
        <v>77</v>
      </c>
      <c r="B651" s="1" t="s">
        <v>5534</v>
      </c>
      <c r="C651" s="1" t="s">
        <v>78</v>
      </c>
      <c r="D651" s="1" t="s">
        <v>79</v>
      </c>
      <c r="E651" s="2">
        <v>445</v>
      </c>
      <c r="F651" s="2">
        <v>43</v>
      </c>
      <c r="G651" s="3" t="s">
        <v>80</v>
      </c>
      <c r="H651" s="3" t="s">
        <v>81</v>
      </c>
      <c r="I651" s="3" t="s">
        <v>82</v>
      </c>
      <c r="J651" s="44" t="str">
        <f>HYPERLINK("https://www.centcols.org/util/geo/visuGen.php?code=FR-71-0440","FR-71-0440")</f>
        <v>FR-71-0440</v>
      </c>
      <c r="K651" s="3" t="s">
        <v>83</v>
      </c>
      <c r="L651" s="1" t="s">
        <v>84</v>
      </c>
      <c r="M651" s="8">
        <v>0</v>
      </c>
      <c r="N651" s="8">
        <v>0</v>
      </c>
      <c r="O651" s="4"/>
      <c r="P651" s="3"/>
      <c r="Q651" s="3" t="s">
        <v>85</v>
      </c>
      <c r="R651" s="3" t="s">
        <v>86</v>
      </c>
      <c r="S651" s="25">
        <v>4.610162</v>
      </c>
      <c r="T651" s="25">
        <v>46.432705</v>
      </c>
      <c r="U651" s="2">
        <v>31</v>
      </c>
      <c r="V651" s="3">
        <v>623702</v>
      </c>
      <c r="W651" s="3">
        <v>5143385</v>
      </c>
      <c r="X651" s="25">
        <v>2.526152</v>
      </c>
      <c r="Y651" s="25">
        <v>51.592</v>
      </c>
      <c r="Z651" s="6"/>
      <c r="AA651" s="7" t="s">
        <v>5138</v>
      </c>
      <c r="AB651" s="8">
        <v>2011</v>
      </c>
      <c r="AC651" s="9"/>
      <c r="AD651" s="10">
        <v>1</v>
      </c>
      <c r="AE651" s="31" t="s">
        <v>76</v>
      </c>
    </row>
    <row r="652" spans="1:31" ht="12.75">
      <c r="A652" s="4" t="s">
        <v>87</v>
      </c>
      <c r="B652" s="1" t="s">
        <v>5815</v>
      </c>
      <c r="C652" s="1" t="s">
        <v>88</v>
      </c>
      <c r="D652" s="1" t="s">
        <v>89</v>
      </c>
      <c r="E652" s="2">
        <v>470</v>
      </c>
      <c r="F652" s="2">
        <v>43</v>
      </c>
      <c r="G652" s="3" t="s">
        <v>90</v>
      </c>
      <c r="H652" s="3" t="s">
        <v>91</v>
      </c>
      <c r="I652" s="3" t="s">
        <v>92</v>
      </c>
      <c r="J652" s="44" t="str">
        <f>HYPERLINK("https://www.centcols.org/util/geo/visuGen.php?code=FR-71-0470","FR-71-0470")</f>
        <v>FR-71-0470</v>
      </c>
      <c r="K652" s="3" t="s">
        <v>93</v>
      </c>
      <c r="L652" s="1" t="s">
        <v>5157</v>
      </c>
      <c r="M652" s="8">
        <v>0</v>
      </c>
      <c r="N652" s="8">
        <v>0</v>
      </c>
      <c r="O652" s="4"/>
      <c r="P652" s="3"/>
      <c r="Q652" s="3" t="s">
        <v>94</v>
      </c>
      <c r="R652" s="3" t="s">
        <v>95</v>
      </c>
      <c r="S652" s="25">
        <v>4.687549</v>
      </c>
      <c r="T652" s="25">
        <v>46.400779</v>
      </c>
      <c r="U652" s="2">
        <v>31</v>
      </c>
      <c r="V652" s="3">
        <v>629723</v>
      </c>
      <c r="W652" s="3">
        <v>5139962</v>
      </c>
      <c r="X652" s="25">
        <v>2.612135</v>
      </c>
      <c r="Y652" s="25">
        <v>51.556</v>
      </c>
      <c r="Z652" s="6"/>
      <c r="AA652" s="7" t="s">
        <v>5138</v>
      </c>
      <c r="AB652" s="8">
        <v>2011</v>
      </c>
      <c r="AC652" s="9"/>
      <c r="AD652" s="10">
        <v>1</v>
      </c>
      <c r="AE652" s="31" t="s">
        <v>76</v>
      </c>
    </row>
    <row r="653" spans="1:31" ht="12.75">
      <c r="A653" s="4" t="s">
        <v>96</v>
      </c>
      <c r="B653" s="1" t="s">
        <v>5534</v>
      </c>
      <c r="C653" s="1" t="s">
        <v>97</v>
      </c>
      <c r="D653" s="1" t="s">
        <v>98</v>
      </c>
      <c r="E653" s="2">
        <v>485</v>
      </c>
      <c r="F653" s="2">
        <v>43</v>
      </c>
      <c r="G653" s="3" t="s">
        <v>80</v>
      </c>
      <c r="H653" s="3" t="s">
        <v>99</v>
      </c>
      <c r="I653" s="3" t="s">
        <v>100</v>
      </c>
      <c r="J653" s="44" t="str">
        <f>HYPERLINK("https://www.centcols.org/util/geo/visuGen.php?code=FR-71-0485","FR-71-0485")</f>
        <v>FR-71-0485</v>
      </c>
      <c r="K653" s="3" t="s">
        <v>101</v>
      </c>
      <c r="L653" s="1" t="s">
        <v>5157</v>
      </c>
      <c r="M653" s="8">
        <v>0</v>
      </c>
      <c r="N653" s="8">
        <v>0</v>
      </c>
      <c r="O653" s="4"/>
      <c r="P653" s="3"/>
      <c r="Q653" s="3" t="s">
        <v>102</v>
      </c>
      <c r="R653" s="3" t="s">
        <v>103</v>
      </c>
      <c r="S653" s="25">
        <v>4.606398</v>
      </c>
      <c r="T653" s="25">
        <v>46.360438</v>
      </c>
      <c r="U653" s="2">
        <v>31</v>
      </c>
      <c r="V653" s="3">
        <v>623576</v>
      </c>
      <c r="W653" s="3">
        <v>5135350</v>
      </c>
      <c r="X653" s="25">
        <v>2.521968</v>
      </c>
      <c r="Y653" s="25">
        <v>51.511642</v>
      </c>
      <c r="Z653" s="6"/>
      <c r="AA653" s="7" t="s">
        <v>5138</v>
      </c>
      <c r="AB653" s="8">
        <v>2011</v>
      </c>
      <c r="AC653" s="9">
        <v>41633</v>
      </c>
      <c r="AD653" s="10"/>
      <c r="AE653" s="31" t="s">
        <v>104</v>
      </c>
    </row>
    <row r="654" spans="1:31" ht="22.5">
      <c r="A654" s="4" t="s">
        <v>105</v>
      </c>
      <c r="B654" s="1" t="s">
        <v>2715</v>
      </c>
      <c r="C654" s="1" t="s">
        <v>106</v>
      </c>
      <c r="D654" s="1" t="s">
        <v>107</v>
      </c>
      <c r="E654" s="2">
        <v>489</v>
      </c>
      <c r="F654" s="2">
        <v>43</v>
      </c>
      <c r="G654" s="3" t="s">
        <v>69</v>
      </c>
      <c r="H654" s="3" t="s">
        <v>108</v>
      </c>
      <c r="I654" s="3" t="s">
        <v>109</v>
      </c>
      <c r="J654" s="44" t="str">
        <f>HYPERLINK("https://www.centcols.org/util/geo/visuGen.php?code=FR-71-0489a","FR-71-0489a")</f>
        <v>FR-71-0489a</v>
      </c>
      <c r="K654" s="3"/>
      <c r="L654" s="1" t="s">
        <v>6207</v>
      </c>
      <c r="M654" s="8">
        <v>35</v>
      </c>
      <c r="N654" s="8">
        <v>10</v>
      </c>
      <c r="O654" s="4"/>
      <c r="P654" s="3"/>
      <c r="Q654" s="3" t="s">
        <v>110</v>
      </c>
      <c r="R654" s="3" t="s">
        <v>111</v>
      </c>
      <c r="S654" s="25">
        <v>4.616713</v>
      </c>
      <c r="T654" s="25">
        <v>46.445677</v>
      </c>
      <c r="U654" s="2">
        <v>31</v>
      </c>
      <c r="V654" s="3">
        <v>624176</v>
      </c>
      <c r="W654" s="3">
        <v>5144837</v>
      </c>
      <c r="X654" s="25">
        <v>2.533431</v>
      </c>
      <c r="Y654" s="25">
        <v>51.606</v>
      </c>
      <c r="Z654" s="6"/>
      <c r="AA654" s="7" t="s">
        <v>5138</v>
      </c>
      <c r="AB654" s="8">
        <v>2011</v>
      </c>
      <c r="AC654" s="9"/>
      <c r="AD654" s="10">
        <v>1</v>
      </c>
      <c r="AE654" s="31" t="s">
        <v>76</v>
      </c>
    </row>
    <row r="655" spans="1:31" ht="12.75">
      <c r="A655" s="4" t="s">
        <v>112</v>
      </c>
      <c r="B655" s="1" t="s">
        <v>5589</v>
      </c>
      <c r="C655" s="1" t="s">
        <v>5826</v>
      </c>
      <c r="D655" s="1" t="s">
        <v>5827</v>
      </c>
      <c r="E655" s="2">
        <v>510</v>
      </c>
      <c r="F655" s="2">
        <v>43</v>
      </c>
      <c r="G655" s="3" t="s">
        <v>113</v>
      </c>
      <c r="H655" s="3" t="s">
        <v>114</v>
      </c>
      <c r="I655" s="3" t="s">
        <v>115</v>
      </c>
      <c r="J655" s="44" t="str">
        <f>HYPERLINK("https://www.centcols.org/util/geo/visuGen.php?code=FR-71-0526","FR-71-0526")</f>
        <v>FR-71-0526</v>
      </c>
      <c r="K655" s="3" t="s">
        <v>116</v>
      </c>
      <c r="L655" s="1" t="s">
        <v>5157</v>
      </c>
      <c r="M655" s="8">
        <v>0</v>
      </c>
      <c r="N655" s="8">
        <v>0</v>
      </c>
      <c r="O655" s="4"/>
      <c r="P655" s="3"/>
      <c r="Q655" s="3" t="s">
        <v>117</v>
      </c>
      <c r="R655" s="3" t="s">
        <v>118</v>
      </c>
      <c r="S655" s="25">
        <v>4.4365135916885805</v>
      </c>
      <c r="T655" s="25">
        <v>46.35126229985376</v>
      </c>
      <c r="U655" s="2">
        <v>31</v>
      </c>
      <c r="V655" s="3">
        <v>610526</v>
      </c>
      <c r="W655" s="3">
        <v>5134079</v>
      </c>
      <c r="X655" s="25">
        <v>2.3332154985895954</v>
      </c>
      <c r="Y655" s="25">
        <v>51.501447028936894</v>
      </c>
      <c r="Z655" s="6"/>
      <c r="AA655" s="7" t="s">
        <v>5138</v>
      </c>
      <c r="AB655" s="8">
        <v>2005</v>
      </c>
      <c r="AC655" s="9"/>
      <c r="AD655" s="10">
        <v>1</v>
      </c>
      <c r="AE655" s="31" t="s">
        <v>119</v>
      </c>
    </row>
    <row r="656" spans="1:31" ht="12.75">
      <c r="A656" s="18" t="s">
        <v>120</v>
      </c>
      <c r="B656" s="20" t="s">
        <v>5923</v>
      </c>
      <c r="C656" s="20" t="s">
        <v>121</v>
      </c>
      <c r="D656" s="20" t="s">
        <v>122</v>
      </c>
      <c r="E656" s="19">
        <v>539</v>
      </c>
      <c r="F656" s="14">
        <v>36</v>
      </c>
      <c r="G656" s="19" t="s">
        <v>4723</v>
      </c>
      <c r="H656" s="19" t="s">
        <v>123</v>
      </c>
      <c r="I656" s="19" t="s">
        <v>124</v>
      </c>
      <c r="J656" s="44" t="str">
        <f>HYPERLINK("https://www.centcols.org/util/geo/visuGen.php?code=FR-71-0539","FR-71-0539")</f>
        <v>FR-71-0539</v>
      </c>
      <c r="K656" s="19" t="s">
        <v>125</v>
      </c>
      <c r="L656" s="20" t="s">
        <v>126</v>
      </c>
      <c r="M656" s="19">
        <v>0</v>
      </c>
      <c r="N656" s="19">
        <v>0</v>
      </c>
      <c r="O656" s="18"/>
      <c r="P656" s="19"/>
      <c r="Q656" s="19" t="s">
        <v>127</v>
      </c>
      <c r="R656" s="19" t="s">
        <v>128</v>
      </c>
      <c r="S656" s="59">
        <v>4.186198</v>
      </c>
      <c r="T656" s="59">
        <v>47.091428</v>
      </c>
      <c r="U656" s="19">
        <v>31</v>
      </c>
      <c r="V656" s="3">
        <v>590027</v>
      </c>
      <c r="W656" s="3">
        <v>5216007</v>
      </c>
      <c r="X656" s="59">
        <v>2.055106</v>
      </c>
      <c r="Y656" s="59">
        <v>52.323868</v>
      </c>
      <c r="Z656" s="18"/>
      <c r="AA656" s="19" t="s">
        <v>5138</v>
      </c>
      <c r="AB656" s="11">
        <v>2018</v>
      </c>
      <c r="AC656" s="12">
        <v>43250</v>
      </c>
      <c r="AD656" s="54"/>
      <c r="AE656" s="32" t="s">
        <v>4739</v>
      </c>
    </row>
    <row r="657" spans="1:31" ht="12.75">
      <c r="A657" s="18" t="s">
        <v>129</v>
      </c>
      <c r="B657" s="20" t="s">
        <v>5815</v>
      </c>
      <c r="C657" s="20" t="s">
        <v>130</v>
      </c>
      <c r="D657" s="20" t="s">
        <v>131</v>
      </c>
      <c r="E657" s="19">
        <v>562</v>
      </c>
      <c r="F657" s="14">
        <v>36</v>
      </c>
      <c r="G657" s="19" t="s">
        <v>4723</v>
      </c>
      <c r="H657" s="19" t="s">
        <v>132</v>
      </c>
      <c r="I657" s="19" t="s">
        <v>133</v>
      </c>
      <c r="J657" s="44" t="str">
        <f>HYPERLINK("https://www.centcols.org/util/geo/visuGen.php?code=FR-71-0562","FR-71-0562")</f>
        <v>FR-71-0562</v>
      </c>
      <c r="K657" s="19" t="s">
        <v>134</v>
      </c>
      <c r="L657" s="20" t="s">
        <v>5157</v>
      </c>
      <c r="M657" s="19">
        <v>0</v>
      </c>
      <c r="N657" s="19">
        <v>0</v>
      </c>
      <c r="O657" s="18"/>
      <c r="P657" s="19"/>
      <c r="Q657" s="19" t="s">
        <v>135</v>
      </c>
      <c r="R657" s="19" t="s">
        <v>136</v>
      </c>
      <c r="S657" s="59">
        <v>4.190339</v>
      </c>
      <c r="T657" s="59">
        <v>47.086607</v>
      </c>
      <c r="U657" s="19">
        <v>31</v>
      </c>
      <c r="V657" s="3">
        <v>590349</v>
      </c>
      <c r="W657" s="3">
        <v>5215476</v>
      </c>
      <c r="X657" s="59">
        <v>2.059707</v>
      </c>
      <c r="Y657" s="59">
        <v>52.318511</v>
      </c>
      <c r="Z657" s="18"/>
      <c r="AA657" s="19" t="s">
        <v>5138</v>
      </c>
      <c r="AB657" s="11">
        <v>2018</v>
      </c>
      <c r="AC657" s="12">
        <v>43250</v>
      </c>
      <c r="AD657" s="54"/>
      <c r="AE657" s="32" t="s">
        <v>4739</v>
      </c>
    </row>
    <row r="658" spans="1:31" ht="12.75">
      <c r="A658" s="18" t="s">
        <v>137</v>
      </c>
      <c r="B658" s="20" t="s">
        <v>5534</v>
      </c>
      <c r="C658" s="20" t="s">
        <v>138</v>
      </c>
      <c r="D658" s="20" t="s">
        <v>139</v>
      </c>
      <c r="E658" s="19">
        <v>563</v>
      </c>
      <c r="F658" s="14">
        <v>36</v>
      </c>
      <c r="G658" s="19" t="s">
        <v>140</v>
      </c>
      <c r="H658" s="19" t="s">
        <v>141</v>
      </c>
      <c r="I658" s="19" t="s">
        <v>142</v>
      </c>
      <c r="J658" s="44" t="str">
        <f>HYPERLINK("https://www.centcols.org/util/geo/visuGen.php?code=FR-71-0563","FR-71-0563")</f>
        <v>FR-71-0563</v>
      </c>
      <c r="K658" s="19" t="s">
        <v>143</v>
      </c>
      <c r="L658" s="20" t="s">
        <v>144</v>
      </c>
      <c r="M658" s="19">
        <v>0</v>
      </c>
      <c r="N658" s="19">
        <v>0</v>
      </c>
      <c r="O658" s="18"/>
      <c r="P658" s="19"/>
      <c r="Q658" s="19" t="s">
        <v>145</v>
      </c>
      <c r="R658" s="19" t="s">
        <v>146</v>
      </c>
      <c r="S658" s="59">
        <v>4.322969</v>
      </c>
      <c r="T658" s="59">
        <v>46.909862</v>
      </c>
      <c r="U658" s="19">
        <v>31</v>
      </c>
      <c r="V658" s="3">
        <v>600748</v>
      </c>
      <c r="W658" s="3">
        <v>5195997</v>
      </c>
      <c r="X658" s="59">
        <v>2.207067</v>
      </c>
      <c r="Y658" s="59">
        <v>52.122125</v>
      </c>
      <c r="Z658" s="18"/>
      <c r="AA658" s="19" t="s">
        <v>5138</v>
      </c>
      <c r="AB658" s="11">
        <v>2018</v>
      </c>
      <c r="AC658" s="12">
        <v>43250</v>
      </c>
      <c r="AD658" s="54"/>
      <c r="AE658" s="32" t="s">
        <v>4739</v>
      </c>
    </row>
    <row r="659" spans="1:31" ht="12.75">
      <c r="A659" s="18" t="s">
        <v>147</v>
      </c>
      <c r="B659" s="20" t="s">
        <v>6046</v>
      </c>
      <c r="C659" s="20" t="s">
        <v>148</v>
      </c>
      <c r="D659" s="20" t="s">
        <v>7029</v>
      </c>
      <c r="E659" s="19">
        <v>563</v>
      </c>
      <c r="F659" s="14">
        <v>36</v>
      </c>
      <c r="G659" s="19" t="s">
        <v>4732</v>
      </c>
      <c r="H659" s="19" t="s">
        <v>149</v>
      </c>
      <c r="I659" s="19" t="s">
        <v>150</v>
      </c>
      <c r="J659" s="44" t="str">
        <f>HYPERLINK("https://www.centcols.org/util/geo/visuGen.php?code=FR-71-0563a","FR-71-0563a")</f>
        <v>FR-71-0563a</v>
      </c>
      <c r="K659" s="19" t="s">
        <v>151</v>
      </c>
      <c r="L659" s="20" t="s">
        <v>126</v>
      </c>
      <c r="M659" s="19">
        <v>0</v>
      </c>
      <c r="N659" s="19">
        <v>0</v>
      </c>
      <c r="O659" s="18"/>
      <c r="P659" s="19"/>
      <c r="Q659" s="19" t="s">
        <v>152</v>
      </c>
      <c r="R659" s="19" t="s">
        <v>153</v>
      </c>
      <c r="S659" s="59">
        <v>4.116713</v>
      </c>
      <c r="T659" s="59">
        <v>47.087912</v>
      </c>
      <c r="U659" s="19">
        <v>31</v>
      </c>
      <c r="V659" s="3">
        <v>584759</v>
      </c>
      <c r="W659" s="3">
        <v>5215539</v>
      </c>
      <c r="X659" s="59">
        <v>1.977903</v>
      </c>
      <c r="Y659" s="59">
        <v>52.319961</v>
      </c>
      <c r="Z659" s="18"/>
      <c r="AA659" s="19" t="s">
        <v>5138</v>
      </c>
      <c r="AB659" s="11">
        <v>2018</v>
      </c>
      <c r="AC659" s="12">
        <v>43250</v>
      </c>
      <c r="AD659" s="54"/>
      <c r="AE659" s="32" t="s">
        <v>4739</v>
      </c>
    </row>
    <row r="660" spans="1:31" ht="12.75">
      <c r="A660" s="4" t="s">
        <v>154</v>
      </c>
      <c r="B660" s="1" t="s">
        <v>4688</v>
      </c>
      <c r="C660" s="1" t="s">
        <v>155</v>
      </c>
      <c r="D660" s="1" t="s">
        <v>156</v>
      </c>
      <c r="E660" s="2">
        <v>578</v>
      </c>
      <c r="F660" s="2">
        <v>36</v>
      </c>
      <c r="G660" s="3" t="s">
        <v>157</v>
      </c>
      <c r="H660" s="3" t="s">
        <v>158</v>
      </c>
      <c r="I660" s="3" t="s">
        <v>159</v>
      </c>
      <c r="J660" s="44" t="str">
        <f>HYPERLINK("https://www.centcols.org/util/geo/visuGen.php?code=FR-71-0578","FR-71-0578")</f>
        <v>FR-71-0578</v>
      </c>
      <c r="K660" s="3"/>
      <c r="L660" s="1" t="s">
        <v>5138</v>
      </c>
      <c r="M660" s="8">
        <v>99</v>
      </c>
      <c r="N660" s="8">
        <v>10</v>
      </c>
      <c r="O660" s="4"/>
      <c r="P660" s="3"/>
      <c r="Q660" s="3" t="s">
        <v>160</v>
      </c>
      <c r="R660" s="3" t="s">
        <v>161</v>
      </c>
      <c r="S660" s="25">
        <v>4.286617</v>
      </c>
      <c r="T660" s="25">
        <v>46.893874</v>
      </c>
      <c r="U660" s="2">
        <v>31</v>
      </c>
      <c r="V660" s="3">
        <v>598009</v>
      </c>
      <c r="W660" s="3">
        <v>5194174</v>
      </c>
      <c r="X660" s="25">
        <v>2.166677</v>
      </c>
      <c r="Y660" s="25">
        <v>52.104361</v>
      </c>
      <c r="Z660" s="6"/>
      <c r="AA660" s="7" t="s">
        <v>5138</v>
      </c>
      <c r="AB660" s="8">
        <v>2017</v>
      </c>
      <c r="AC660" s="9"/>
      <c r="AD660" s="10"/>
      <c r="AE660" s="31" t="s">
        <v>162</v>
      </c>
    </row>
    <row r="661" spans="1:31" ht="12.75">
      <c r="A661" s="18" t="s">
        <v>163</v>
      </c>
      <c r="B661" s="62" t="s">
        <v>5815</v>
      </c>
      <c r="C661" s="62" t="s">
        <v>164</v>
      </c>
      <c r="D661" s="62" t="s">
        <v>165</v>
      </c>
      <c r="E661" s="24">
        <v>595</v>
      </c>
      <c r="F661" s="24">
        <v>36</v>
      </c>
      <c r="G661" s="24" t="s">
        <v>157</v>
      </c>
      <c r="H661" s="24" t="s">
        <v>166</v>
      </c>
      <c r="I661" s="24" t="s">
        <v>167</v>
      </c>
      <c r="J661" s="44" t="str">
        <f>HYPERLINK("https://www.centcols.org/util/geo/visuGen.php?code=FR-71-0595","FR-71-0595")</f>
        <v>FR-71-0595</v>
      </c>
      <c r="K661" s="24" t="s">
        <v>168</v>
      </c>
      <c r="L661" s="62" t="s">
        <v>169</v>
      </c>
      <c r="M661" s="24">
        <v>0</v>
      </c>
      <c r="N661" s="24">
        <v>0</v>
      </c>
      <c r="O661" s="18"/>
      <c r="P661" s="19"/>
      <c r="Q661" s="24" t="s">
        <v>170</v>
      </c>
      <c r="R661" s="24" t="s">
        <v>6996</v>
      </c>
      <c r="S661" s="25">
        <v>4.282179</v>
      </c>
      <c r="T661" s="25">
        <v>46.920018</v>
      </c>
      <c r="U661" s="24">
        <v>31</v>
      </c>
      <c r="V661" s="3">
        <v>597623</v>
      </c>
      <c r="W661" s="3">
        <v>5197074</v>
      </c>
      <c r="X661" s="25">
        <v>2.161747</v>
      </c>
      <c r="Y661" s="25">
        <v>52.13341</v>
      </c>
      <c r="Z661" s="18"/>
      <c r="AA661" s="19" t="s">
        <v>5138</v>
      </c>
      <c r="AB661" s="11">
        <v>2019</v>
      </c>
      <c r="AC661" s="60">
        <v>43525</v>
      </c>
      <c r="AD661" s="54"/>
      <c r="AE661" s="31" t="s">
        <v>4128</v>
      </c>
    </row>
    <row r="662" spans="1:31" ht="12.75">
      <c r="A662" s="18" t="s">
        <v>171</v>
      </c>
      <c r="B662" s="62" t="s">
        <v>5815</v>
      </c>
      <c r="C662" s="62" t="s">
        <v>172</v>
      </c>
      <c r="D662" s="62" t="s">
        <v>173</v>
      </c>
      <c r="E662" s="24">
        <v>623</v>
      </c>
      <c r="F662" s="24">
        <v>36</v>
      </c>
      <c r="G662" s="24" t="s">
        <v>4732</v>
      </c>
      <c r="H662" s="24" t="s">
        <v>174</v>
      </c>
      <c r="I662" s="24" t="s">
        <v>175</v>
      </c>
      <c r="J662" s="44" t="str">
        <f>HYPERLINK("https://www.centcols.org/util/geo/visuGen.php?code=FR-71-0623","FR-71-0623")</f>
        <v>FR-71-0623</v>
      </c>
      <c r="K662" s="24" t="s">
        <v>176</v>
      </c>
      <c r="L662" s="62" t="s">
        <v>177</v>
      </c>
      <c r="M662" s="24">
        <v>0</v>
      </c>
      <c r="N662" s="24">
        <v>0</v>
      </c>
      <c r="O662" s="18"/>
      <c r="P662" s="19"/>
      <c r="Q662" s="24" t="s">
        <v>178</v>
      </c>
      <c r="R662" s="24" t="s">
        <v>6997</v>
      </c>
      <c r="S662" s="25">
        <v>4.08566</v>
      </c>
      <c r="T662" s="25">
        <v>46.99377</v>
      </c>
      <c r="U662" s="24">
        <v>31</v>
      </c>
      <c r="V662" s="3">
        <v>582547</v>
      </c>
      <c r="W662" s="3">
        <v>5205044</v>
      </c>
      <c r="X662" s="25">
        <v>1.9434</v>
      </c>
      <c r="Y662" s="25">
        <v>52.21536</v>
      </c>
      <c r="Z662" s="18"/>
      <c r="AA662" s="19" t="s">
        <v>5138</v>
      </c>
      <c r="AB662" s="11">
        <v>2019</v>
      </c>
      <c r="AC662" s="60">
        <v>43525</v>
      </c>
      <c r="AD662" s="54"/>
      <c r="AE662" s="31" t="s">
        <v>4128</v>
      </c>
    </row>
    <row r="663" spans="1:31" ht="12.75">
      <c r="A663" s="4" t="s">
        <v>179</v>
      </c>
      <c r="B663" s="1" t="s">
        <v>4688</v>
      </c>
      <c r="C663" s="1" t="s">
        <v>180</v>
      </c>
      <c r="D663" s="1" t="s">
        <v>181</v>
      </c>
      <c r="E663" s="2">
        <v>645</v>
      </c>
      <c r="F663" s="2">
        <v>36</v>
      </c>
      <c r="G663" s="3" t="s">
        <v>157</v>
      </c>
      <c r="H663" s="3" t="s">
        <v>182</v>
      </c>
      <c r="I663" s="3" t="s">
        <v>183</v>
      </c>
      <c r="J663" s="44" t="str">
        <f>HYPERLINK("https://www.centcols.org/util/geo/visuGen.php?code=FR-71-0645","FR-71-0645")</f>
        <v>FR-71-0645</v>
      </c>
      <c r="K663" s="3"/>
      <c r="L663" s="1" t="s">
        <v>5176</v>
      </c>
      <c r="M663" s="8">
        <v>99</v>
      </c>
      <c r="N663" s="8">
        <v>15</v>
      </c>
      <c r="O663" s="4"/>
      <c r="P663" s="3"/>
      <c r="Q663" s="3" t="s">
        <v>184</v>
      </c>
      <c r="R663" s="3" t="s">
        <v>185</v>
      </c>
      <c r="S663" s="25">
        <v>4.274691</v>
      </c>
      <c r="T663" s="25">
        <v>46.901772</v>
      </c>
      <c r="U663" s="2">
        <v>31</v>
      </c>
      <c r="V663" s="3">
        <v>597086</v>
      </c>
      <c r="W663" s="3">
        <v>5195037</v>
      </c>
      <c r="X663" s="25">
        <v>2.153426</v>
      </c>
      <c r="Y663" s="25">
        <v>52.113137</v>
      </c>
      <c r="Z663" s="6"/>
      <c r="AA663" s="7" t="s">
        <v>5138</v>
      </c>
      <c r="AB663" s="8">
        <v>2017</v>
      </c>
      <c r="AC663" s="9"/>
      <c r="AD663" s="10"/>
      <c r="AE663" s="31" t="s">
        <v>162</v>
      </c>
    </row>
    <row r="664" spans="1:31" ht="12.75">
      <c r="A664" s="18" t="s">
        <v>186</v>
      </c>
      <c r="B664" s="20" t="s">
        <v>5815</v>
      </c>
      <c r="C664" s="20" t="s">
        <v>187</v>
      </c>
      <c r="D664" s="20" t="s">
        <v>188</v>
      </c>
      <c r="E664" s="19">
        <v>676</v>
      </c>
      <c r="F664" s="14">
        <v>36</v>
      </c>
      <c r="G664" s="19" t="s">
        <v>157</v>
      </c>
      <c r="H664" s="19" t="s">
        <v>189</v>
      </c>
      <c r="I664" s="19" t="s">
        <v>190</v>
      </c>
      <c r="J664" s="44" t="str">
        <f>HYPERLINK("https://www.centcols.org/util/geo/visuGen.php?code=FR-71-0676","FR-71-0676")</f>
        <v>FR-71-0676</v>
      </c>
      <c r="K664" s="19" t="s">
        <v>191</v>
      </c>
      <c r="L664" s="20" t="s">
        <v>192</v>
      </c>
      <c r="M664" s="19">
        <v>0</v>
      </c>
      <c r="N664" s="19">
        <v>0</v>
      </c>
      <c r="O664" s="18"/>
      <c r="P664" s="19"/>
      <c r="Q664" s="19" t="s">
        <v>193</v>
      </c>
      <c r="R664" s="19" t="s">
        <v>194</v>
      </c>
      <c r="S664" s="59">
        <v>4.259955</v>
      </c>
      <c r="T664" s="59">
        <v>46.805912</v>
      </c>
      <c r="U664" s="19">
        <v>31</v>
      </c>
      <c r="V664" s="3">
        <v>596135</v>
      </c>
      <c r="W664" s="3">
        <v>5184367</v>
      </c>
      <c r="X664" s="59">
        <v>2.137053</v>
      </c>
      <c r="Y664" s="59">
        <v>52.006624</v>
      </c>
      <c r="Z664" s="18"/>
      <c r="AA664" s="19" t="s">
        <v>5138</v>
      </c>
      <c r="AB664" s="11">
        <v>2018</v>
      </c>
      <c r="AC664" s="12">
        <v>43250</v>
      </c>
      <c r="AD664" s="54"/>
      <c r="AE664" s="32" t="s">
        <v>4739</v>
      </c>
    </row>
    <row r="665" spans="1:31" ht="12.75">
      <c r="A665" s="18" t="s">
        <v>195</v>
      </c>
      <c r="B665" s="62" t="s">
        <v>5923</v>
      </c>
      <c r="C665" s="62" t="s">
        <v>196</v>
      </c>
      <c r="D665" s="62" t="s">
        <v>197</v>
      </c>
      <c r="E665" s="24">
        <v>873</v>
      </c>
      <c r="F665" s="24">
        <v>36</v>
      </c>
      <c r="G665" s="24" t="s">
        <v>4732</v>
      </c>
      <c r="H665" s="24" t="s">
        <v>198</v>
      </c>
      <c r="I665" s="24" t="s">
        <v>199</v>
      </c>
      <c r="J665" s="44" t="str">
        <f>HYPERLINK("https://www.centcols.org/util/geo/visuGen.php?code=FR-71-0873","FR-71-0873")</f>
        <v>FR-71-0873</v>
      </c>
      <c r="K665" s="24" t="s">
        <v>200</v>
      </c>
      <c r="L665" s="62" t="s">
        <v>201</v>
      </c>
      <c r="M665" s="24">
        <v>0</v>
      </c>
      <c r="N665" s="24">
        <v>0</v>
      </c>
      <c r="O665" s="18"/>
      <c r="P665" s="19"/>
      <c r="Q665" s="19" t="s">
        <v>202</v>
      </c>
      <c r="R665" s="19" t="s">
        <v>6998</v>
      </c>
      <c r="S665" s="25">
        <v>4.041366</v>
      </c>
      <c r="T665" s="25">
        <v>46.991447</v>
      </c>
      <c r="U665" s="24">
        <v>31</v>
      </c>
      <c r="V665" s="3">
        <v>579183</v>
      </c>
      <c r="W665" s="3">
        <v>5204740</v>
      </c>
      <c r="X665" s="25">
        <v>1.894186</v>
      </c>
      <c r="Y665" s="25">
        <v>52.212776</v>
      </c>
      <c r="Z665" s="18"/>
      <c r="AA665" s="19" t="s">
        <v>5138</v>
      </c>
      <c r="AB665" s="11">
        <v>2019</v>
      </c>
      <c r="AC665" s="60">
        <v>43525</v>
      </c>
      <c r="AD665" s="54"/>
      <c r="AE665" s="31" t="s">
        <v>4128</v>
      </c>
    </row>
    <row r="666" spans="1:31" ht="12.75">
      <c r="A666" s="4" t="s">
        <v>203</v>
      </c>
      <c r="B666" s="1" t="s">
        <v>5815</v>
      </c>
      <c r="C666" s="1" t="s">
        <v>204</v>
      </c>
      <c r="D666" s="1" t="s">
        <v>205</v>
      </c>
      <c r="E666" s="2">
        <v>168</v>
      </c>
      <c r="F666" s="2">
        <v>17</v>
      </c>
      <c r="G666" s="3" t="s">
        <v>206</v>
      </c>
      <c r="H666" s="3" t="s">
        <v>207</v>
      </c>
      <c r="I666" s="3" t="s">
        <v>208</v>
      </c>
      <c r="J666" s="44" t="str">
        <f>HYPERLINK("https://www.centcols.org/util/geo/visuGen.php?code=FR-72-0168","FR-72-0168")</f>
        <v>FR-72-0168</v>
      </c>
      <c r="K666" s="3" t="s">
        <v>209</v>
      </c>
      <c r="L666" s="1" t="s">
        <v>210</v>
      </c>
      <c r="M666" s="8">
        <v>0</v>
      </c>
      <c r="N666" s="8">
        <v>0</v>
      </c>
      <c r="O666" s="4"/>
      <c r="P666" s="3"/>
      <c r="Q666" s="3" t="s">
        <v>211</v>
      </c>
      <c r="R666" s="3" t="s">
        <v>212</v>
      </c>
      <c r="S666" s="25">
        <v>-0.11100304196329919</v>
      </c>
      <c r="T666" s="25">
        <v>48.27686014440106</v>
      </c>
      <c r="U666" s="2">
        <v>30</v>
      </c>
      <c r="V666" s="3">
        <v>714340</v>
      </c>
      <c r="W666" s="3">
        <v>5351108</v>
      </c>
      <c r="X666" s="25">
        <v>-2.7193685429150607</v>
      </c>
      <c r="Y666" s="25">
        <v>53.64103707136697</v>
      </c>
      <c r="Z666" s="6"/>
      <c r="AA666" s="7" t="s">
        <v>5138</v>
      </c>
      <c r="AB666" s="8">
        <v>2006</v>
      </c>
      <c r="AC666" s="9"/>
      <c r="AD666" s="10">
        <v>1</v>
      </c>
      <c r="AE666" s="31" t="s">
        <v>7028</v>
      </c>
    </row>
    <row r="667" spans="1:31" ht="12.75">
      <c r="A667" s="4" t="s">
        <v>213</v>
      </c>
      <c r="B667" s="1" t="s">
        <v>5128</v>
      </c>
      <c r="C667" s="1" t="s">
        <v>214</v>
      </c>
      <c r="D667" s="1" t="s">
        <v>215</v>
      </c>
      <c r="E667" s="2">
        <v>236</v>
      </c>
      <c r="F667" s="2">
        <v>17</v>
      </c>
      <c r="G667" s="3" t="s">
        <v>206</v>
      </c>
      <c r="H667" s="3" t="s">
        <v>216</v>
      </c>
      <c r="I667" s="3" t="s">
        <v>217</v>
      </c>
      <c r="J667" s="44" t="str">
        <f>HYPERLINK("https://www.centcols.org/util/geo/visuGen.php?code=FR-72-0236","FR-72-0236")</f>
        <v>FR-72-0236</v>
      </c>
      <c r="K667" s="3" t="s">
        <v>218</v>
      </c>
      <c r="L667" s="1" t="s">
        <v>219</v>
      </c>
      <c r="M667" s="8">
        <v>0</v>
      </c>
      <c r="N667" s="8">
        <v>0</v>
      </c>
      <c r="O667" s="4"/>
      <c r="P667" s="3"/>
      <c r="Q667" s="3" t="s">
        <v>220</v>
      </c>
      <c r="R667" s="3" t="s">
        <v>221</v>
      </c>
      <c r="S667" s="25">
        <v>-0.1283079766393154</v>
      </c>
      <c r="T667" s="25">
        <v>48.3397556109523</v>
      </c>
      <c r="U667" s="2">
        <v>30</v>
      </c>
      <c r="V667" s="3">
        <v>712795</v>
      </c>
      <c r="W667" s="3">
        <v>5358049</v>
      </c>
      <c r="X667" s="25">
        <v>-2.7385948947841428</v>
      </c>
      <c r="Y667" s="25">
        <v>53.71092147700426</v>
      </c>
      <c r="Z667" s="6"/>
      <c r="AA667" s="7" t="s">
        <v>5138</v>
      </c>
      <c r="AB667" s="8">
        <v>2001</v>
      </c>
      <c r="AC667" s="9"/>
      <c r="AD667" s="10">
        <v>1</v>
      </c>
      <c r="AE667" s="31" t="s">
        <v>4128</v>
      </c>
    </row>
    <row r="668" spans="1:31" ht="12.75">
      <c r="A668" s="4" t="s">
        <v>222</v>
      </c>
      <c r="B668" s="1" t="s">
        <v>5815</v>
      </c>
      <c r="C668" s="1" t="s">
        <v>223</v>
      </c>
      <c r="D668" s="1" t="s">
        <v>224</v>
      </c>
      <c r="E668" s="2">
        <v>258</v>
      </c>
      <c r="F668" s="2">
        <v>17</v>
      </c>
      <c r="G668" s="3" t="s">
        <v>225</v>
      </c>
      <c r="H668" s="3" t="s">
        <v>226</v>
      </c>
      <c r="I668" s="3" t="s">
        <v>227</v>
      </c>
      <c r="J668" s="44" t="str">
        <f>HYPERLINK("https://www.centcols.org/util/geo/visuGen.php?code=FR-72-0258","FR-72-0258")</f>
        <v>FR-72-0258</v>
      </c>
      <c r="K668" s="3" t="s">
        <v>228</v>
      </c>
      <c r="L668" s="1" t="s">
        <v>229</v>
      </c>
      <c r="M668" s="8">
        <v>0</v>
      </c>
      <c r="N668" s="8">
        <v>0</v>
      </c>
      <c r="O668" s="4"/>
      <c r="P668" s="3"/>
      <c r="Q668" s="3" t="s">
        <v>230</v>
      </c>
      <c r="R668" s="3" t="s">
        <v>231</v>
      </c>
      <c r="S668" s="25">
        <v>-0.15661553102590925</v>
      </c>
      <c r="T668" s="25">
        <v>48.19681096029908</v>
      </c>
      <c r="U668" s="2">
        <v>30</v>
      </c>
      <c r="V668" s="3">
        <v>711286</v>
      </c>
      <c r="W668" s="3">
        <v>5342085</v>
      </c>
      <c r="X668" s="25">
        <v>-2.7700479585163156</v>
      </c>
      <c r="Y668" s="25">
        <v>53.552092931980084</v>
      </c>
      <c r="Z668" s="6"/>
      <c r="AA668" s="7" t="s">
        <v>5138</v>
      </c>
      <c r="AB668" s="8">
        <v>2001</v>
      </c>
      <c r="AC668" s="9"/>
      <c r="AD668" s="10">
        <v>1</v>
      </c>
      <c r="AE668" s="31" t="s">
        <v>4128</v>
      </c>
    </row>
    <row r="669" spans="1:31" ht="12.75">
      <c r="A669" s="4" t="s">
        <v>232</v>
      </c>
      <c r="B669" s="1" t="s">
        <v>5534</v>
      </c>
      <c r="C669" s="1" t="s">
        <v>233</v>
      </c>
      <c r="D669" s="1" t="s">
        <v>234</v>
      </c>
      <c r="E669" s="2">
        <v>323</v>
      </c>
      <c r="F669" s="2">
        <v>19</v>
      </c>
      <c r="G669" s="3" t="s">
        <v>235</v>
      </c>
      <c r="H669" s="3" t="s">
        <v>236</v>
      </c>
      <c r="I669" s="3" t="s">
        <v>237</v>
      </c>
      <c r="J669" s="44" t="str">
        <f>HYPERLINK("https://www.centcols.org/util/geo/visuGen.php?code=FR-72-0323","FR-72-0323")</f>
        <v>FR-72-0323</v>
      </c>
      <c r="K669" s="3" t="s">
        <v>238</v>
      </c>
      <c r="L669" s="1" t="s">
        <v>239</v>
      </c>
      <c r="M669" s="8">
        <v>0</v>
      </c>
      <c r="N669" s="8">
        <v>0</v>
      </c>
      <c r="O669" s="4"/>
      <c r="P669" s="3"/>
      <c r="Q669" s="3" t="s">
        <v>240</v>
      </c>
      <c r="R669" s="3" t="s">
        <v>241</v>
      </c>
      <c r="S669" s="25">
        <v>0.2913777335163293</v>
      </c>
      <c r="T669" s="25">
        <v>48.41584583996855</v>
      </c>
      <c r="U669" s="2">
        <v>31</v>
      </c>
      <c r="V669" s="3">
        <v>299587</v>
      </c>
      <c r="W669" s="3">
        <v>5366066</v>
      </c>
      <c r="X669" s="25">
        <v>-2.272293767674213</v>
      </c>
      <c r="Y669" s="25">
        <v>53.79546547044189</v>
      </c>
      <c r="Z669" s="6"/>
      <c r="AA669" s="7" t="s">
        <v>5138</v>
      </c>
      <c r="AB669" s="8">
        <v>2001</v>
      </c>
      <c r="AC669" s="9"/>
      <c r="AD669" s="10">
        <v>1</v>
      </c>
      <c r="AE669" s="31" t="s">
        <v>242</v>
      </c>
    </row>
    <row r="670" spans="1:31" ht="12.75">
      <c r="A670" s="4" t="s">
        <v>243</v>
      </c>
      <c r="B670" s="1" t="s">
        <v>5923</v>
      </c>
      <c r="C670" s="1" t="s">
        <v>244</v>
      </c>
      <c r="D670" s="1" t="s">
        <v>245</v>
      </c>
      <c r="E670" s="2">
        <v>255</v>
      </c>
      <c r="F670" s="2">
        <v>44</v>
      </c>
      <c r="G670" s="3" t="s">
        <v>246</v>
      </c>
      <c r="H670" s="3" t="s">
        <v>247</v>
      </c>
      <c r="I670" s="3" t="s">
        <v>248</v>
      </c>
      <c r="J670" s="44" t="str">
        <f>HYPERLINK("https://www.centcols.org/util/geo/visuGen.php?code=FR-73-0255","FR-73-0255")</f>
        <v>FR-73-0255</v>
      </c>
      <c r="K670" s="3" t="s">
        <v>249</v>
      </c>
      <c r="L670" s="1" t="s">
        <v>5157</v>
      </c>
      <c r="M670" s="8">
        <v>0</v>
      </c>
      <c r="N670" s="8">
        <v>0</v>
      </c>
      <c r="O670" s="4"/>
      <c r="P670" s="3"/>
      <c r="Q670" s="3" t="s">
        <v>250</v>
      </c>
      <c r="R670" s="3" t="s">
        <v>251</v>
      </c>
      <c r="S670" s="25">
        <v>5.835386924247962</v>
      </c>
      <c r="T670" s="25">
        <v>45.80525005538778</v>
      </c>
      <c r="U670" s="2">
        <v>31</v>
      </c>
      <c r="V670" s="3">
        <v>720317</v>
      </c>
      <c r="W670" s="3">
        <v>5076320</v>
      </c>
      <c r="X670" s="25">
        <v>3.8874509234199173</v>
      </c>
      <c r="Y670" s="25">
        <v>50.894751221775124</v>
      </c>
      <c r="Z670" s="6"/>
      <c r="AA670" s="7" t="s">
        <v>5138</v>
      </c>
      <c r="AB670" s="8">
        <v>2001</v>
      </c>
      <c r="AC670" s="9"/>
      <c r="AD670" s="10">
        <v>1</v>
      </c>
      <c r="AE670" s="31" t="s">
        <v>252</v>
      </c>
    </row>
    <row r="671" spans="1:31" ht="12.75">
      <c r="A671" s="4" t="s">
        <v>253</v>
      </c>
      <c r="B671" s="1" t="s">
        <v>1987</v>
      </c>
      <c r="C671" s="1" t="s">
        <v>5641</v>
      </c>
      <c r="D671" s="1" t="s">
        <v>254</v>
      </c>
      <c r="E671" s="2">
        <v>1020</v>
      </c>
      <c r="F671" s="2">
        <v>53</v>
      </c>
      <c r="G671" s="3" t="s">
        <v>255</v>
      </c>
      <c r="H671" s="3" t="s">
        <v>256</v>
      </c>
      <c r="I671" s="3" t="s">
        <v>257</v>
      </c>
      <c r="J671" s="44" t="str">
        <f>HYPERLINK("https://www.centcols.org/util/geo/visuGen.php?code=FR-73-1020","FR-73-1020")</f>
        <v>FR-73-1020</v>
      </c>
      <c r="K671" s="3" t="s">
        <v>258</v>
      </c>
      <c r="L671" s="1" t="s">
        <v>3819</v>
      </c>
      <c r="M671" s="8">
        <v>0</v>
      </c>
      <c r="N671" s="8">
        <v>0</v>
      </c>
      <c r="O671" s="4"/>
      <c r="P671" s="3"/>
      <c r="Q671" s="3" t="s">
        <v>259</v>
      </c>
      <c r="R671" s="3" t="s">
        <v>260</v>
      </c>
      <c r="S671" s="25">
        <v>5.815865825572659</v>
      </c>
      <c r="T671" s="25">
        <v>45.591423529332026</v>
      </c>
      <c r="U671" s="2">
        <v>31</v>
      </c>
      <c r="V671" s="3">
        <v>719637</v>
      </c>
      <c r="W671" s="3">
        <v>5052511</v>
      </c>
      <c r="X671" s="25">
        <v>3.8657602894797747</v>
      </c>
      <c r="Y671" s="25">
        <v>50.657161966080686</v>
      </c>
      <c r="Z671" s="6"/>
      <c r="AA671" s="7" t="s">
        <v>5138</v>
      </c>
      <c r="AB671" s="8">
        <v>2003</v>
      </c>
      <c r="AC671" s="9"/>
      <c r="AD671" s="10">
        <v>1</v>
      </c>
      <c r="AE671" s="31" t="s">
        <v>261</v>
      </c>
    </row>
    <row r="672" spans="1:31" ht="12.75">
      <c r="A672" s="50" t="s">
        <v>262</v>
      </c>
      <c r="B672" s="46" t="s">
        <v>5128</v>
      </c>
      <c r="C672" s="46" t="s">
        <v>263</v>
      </c>
      <c r="D672" s="46" t="s">
        <v>264</v>
      </c>
      <c r="E672" s="47">
        <v>1210</v>
      </c>
      <c r="F672" s="47">
        <v>53</v>
      </c>
      <c r="G672" s="47" t="s">
        <v>265</v>
      </c>
      <c r="H672" s="47" t="s">
        <v>266</v>
      </c>
      <c r="I672" s="47" t="s">
        <v>267</v>
      </c>
      <c r="J672" s="44" t="s">
        <v>262</v>
      </c>
      <c r="K672" s="47" t="s">
        <v>268</v>
      </c>
      <c r="L672" s="46" t="s">
        <v>269</v>
      </c>
      <c r="M672" s="47">
        <v>0</v>
      </c>
      <c r="N672" s="47">
        <v>0</v>
      </c>
      <c r="O672" s="48"/>
      <c r="P672" s="48"/>
      <c r="Q672" s="47" t="s">
        <v>270</v>
      </c>
      <c r="R672" s="47" t="s">
        <v>271</v>
      </c>
      <c r="S672" s="115">
        <v>6.46311</v>
      </c>
      <c r="T672" s="115">
        <v>45.24612</v>
      </c>
      <c r="U672" s="47">
        <v>32</v>
      </c>
      <c r="V672" s="3">
        <v>300913</v>
      </c>
      <c r="W672" s="3">
        <v>5013422</v>
      </c>
      <c r="X672" s="115">
        <v>4.5849</v>
      </c>
      <c r="Y672" s="115">
        <v>50.27348</v>
      </c>
      <c r="Z672" s="48"/>
      <c r="AA672" s="7" t="s">
        <v>5138</v>
      </c>
      <c r="AB672" s="49">
        <v>2020</v>
      </c>
      <c r="AE672" s="64" t="s">
        <v>6672</v>
      </c>
    </row>
    <row r="673" spans="1:31" ht="12.75">
      <c r="A673" s="4" t="s">
        <v>272</v>
      </c>
      <c r="B673" s="1" t="s">
        <v>5262</v>
      </c>
      <c r="C673" s="1" t="s">
        <v>5806</v>
      </c>
      <c r="D673" s="1" t="s">
        <v>5806</v>
      </c>
      <c r="E673" s="2">
        <v>1250</v>
      </c>
      <c r="F673" s="2">
        <v>53</v>
      </c>
      <c r="G673" s="3" t="s">
        <v>273</v>
      </c>
      <c r="H673" s="3" t="s">
        <v>274</v>
      </c>
      <c r="I673" s="3" t="s">
        <v>275</v>
      </c>
      <c r="J673" s="44" t="str">
        <f>HYPERLINK("https://www.centcols.org/util/geo/visuGen.php?code=FR-73-1250","FR-73-1250")</f>
        <v>FR-73-1250</v>
      </c>
      <c r="K673" s="3"/>
      <c r="L673" s="1" t="s">
        <v>5746</v>
      </c>
      <c r="M673" s="8">
        <v>99</v>
      </c>
      <c r="N673" s="8">
        <v>20</v>
      </c>
      <c r="O673" s="4"/>
      <c r="P673" s="3"/>
      <c r="Q673" s="3" t="s">
        <v>276</v>
      </c>
      <c r="R673" s="3" t="s">
        <v>277</v>
      </c>
      <c r="S673" s="25">
        <v>6.460647495870847</v>
      </c>
      <c r="T673" s="25">
        <v>45.67138566912756</v>
      </c>
      <c r="U673" s="2">
        <v>32</v>
      </c>
      <c r="V673" s="3">
        <v>302213</v>
      </c>
      <c r="W673" s="3">
        <v>5060674</v>
      </c>
      <c r="X673" s="25">
        <v>4.582156365016013</v>
      </c>
      <c r="Y673" s="25">
        <v>50.746</v>
      </c>
      <c r="Z673" s="6"/>
      <c r="AA673" s="7" t="s">
        <v>5176</v>
      </c>
      <c r="AB673" s="8" t="s">
        <v>5802</v>
      </c>
      <c r="AC673" s="9"/>
      <c r="AD673" s="10">
        <v>1</v>
      </c>
      <c r="AE673" s="31" t="s">
        <v>278</v>
      </c>
    </row>
    <row r="674" spans="1:31" ht="12.75">
      <c r="A674" s="4" t="s">
        <v>279</v>
      </c>
      <c r="B674" s="1" t="s">
        <v>5923</v>
      </c>
      <c r="C674" s="1" t="s">
        <v>280</v>
      </c>
      <c r="D674" s="1" t="s">
        <v>281</v>
      </c>
      <c r="E674" s="2">
        <v>1306</v>
      </c>
      <c r="F674" s="2">
        <v>53</v>
      </c>
      <c r="G674" s="3" t="s">
        <v>265</v>
      </c>
      <c r="H674" s="3" t="s">
        <v>282</v>
      </c>
      <c r="I674" s="3" t="s">
        <v>283</v>
      </c>
      <c r="J674" s="44" t="str">
        <f>HYPERLINK("https://www.centcols.org/util/geo/visuGen.php?code=FR-73-1306","FR-73-1306")</f>
        <v>FR-73-1306</v>
      </c>
      <c r="K674" s="3" t="s">
        <v>284</v>
      </c>
      <c r="L674" s="1" t="s">
        <v>5157</v>
      </c>
      <c r="M674" s="8">
        <v>0</v>
      </c>
      <c r="N674" s="8">
        <v>0</v>
      </c>
      <c r="O674" s="4"/>
      <c r="P674" s="3"/>
      <c r="Q674" s="3" t="s">
        <v>285</v>
      </c>
      <c r="R674" s="3" t="s">
        <v>286</v>
      </c>
      <c r="S674" s="25">
        <v>6.3815540748558215</v>
      </c>
      <c r="T674" s="25">
        <v>45.29344995742494</v>
      </c>
      <c r="U674" s="2">
        <v>32</v>
      </c>
      <c r="V674" s="3">
        <v>294683</v>
      </c>
      <c r="W674" s="3">
        <v>5018885</v>
      </c>
      <c r="X674" s="25">
        <v>4.4942788103205356</v>
      </c>
      <c r="Y674" s="25">
        <v>50.3260728289259</v>
      </c>
      <c r="Z674" s="6"/>
      <c r="AA674" s="7" t="s">
        <v>5138</v>
      </c>
      <c r="AB674" s="8">
        <v>2018</v>
      </c>
      <c r="AC674" s="57">
        <v>43199</v>
      </c>
      <c r="AD674" s="10"/>
      <c r="AE674" s="31" t="s">
        <v>287</v>
      </c>
    </row>
    <row r="675" spans="1:31" ht="12.75">
      <c r="A675" s="4" t="s">
        <v>288</v>
      </c>
      <c r="B675" s="1" t="s">
        <v>5534</v>
      </c>
      <c r="C675" s="1" t="s">
        <v>289</v>
      </c>
      <c r="D675" s="1" t="s">
        <v>7025</v>
      </c>
      <c r="E675" s="2">
        <v>1320</v>
      </c>
      <c r="F675" s="2">
        <v>53</v>
      </c>
      <c r="G675" s="3" t="s">
        <v>273</v>
      </c>
      <c r="H675" s="3" t="s">
        <v>290</v>
      </c>
      <c r="I675" s="3" t="s">
        <v>291</v>
      </c>
      <c r="J675" s="44" t="str">
        <f>HYPERLINK("https://www.centcols.org/util/geo/visuGen.php?code=FR-73-1320","FR-73-1320")</f>
        <v>FR-73-1320</v>
      </c>
      <c r="K675" s="3" t="s">
        <v>292</v>
      </c>
      <c r="L675" s="1" t="s">
        <v>3819</v>
      </c>
      <c r="M675" s="8">
        <v>0</v>
      </c>
      <c r="N675" s="8">
        <v>0</v>
      </c>
      <c r="O675" s="4"/>
      <c r="P675" s="3"/>
      <c r="Q675" s="3" t="s">
        <v>293</v>
      </c>
      <c r="R675" s="3" t="s">
        <v>294</v>
      </c>
      <c r="S675" s="25">
        <v>6.435687200807607</v>
      </c>
      <c r="T675" s="25">
        <v>45.6826855896616</v>
      </c>
      <c r="U675" s="2">
        <v>32</v>
      </c>
      <c r="V675" s="3">
        <v>300309</v>
      </c>
      <c r="W675" s="3">
        <v>5061991</v>
      </c>
      <c r="X675" s="25">
        <v>4.554425865762245</v>
      </c>
      <c r="Y675" s="25">
        <v>50.758563804351475</v>
      </c>
      <c r="Z675" s="6"/>
      <c r="AA675" s="7" t="s">
        <v>5138</v>
      </c>
      <c r="AB675" s="8">
        <v>2006</v>
      </c>
      <c r="AC675" s="9"/>
      <c r="AD675" s="10">
        <v>1</v>
      </c>
      <c r="AE675" s="31" t="s">
        <v>295</v>
      </c>
    </row>
    <row r="676" spans="1:31" ht="12.75">
      <c r="A676" s="4" t="s">
        <v>296</v>
      </c>
      <c r="B676" s="1" t="s">
        <v>6241</v>
      </c>
      <c r="C676" s="1" t="s">
        <v>297</v>
      </c>
      <c r="D676" s="1" t="s">
        <v>298</v>
      </c>
      <c r="E676" s="2">
        <v>1360</v>
      </c>
      <c r="F676" s="2">
        <v>53</v>
      </c>
      <c r="G676" s="3" t="s">
        <v>299</v>
      </c>
      <c r="H676" s="3" t="s">
        <v>300</v>
      </c>
      <c r="I676" s="3" t="s">
        <v>301</v>
      </c>
      <c r="J676" s="44" t="str">
        <f>HYPERLINK("https://www.centcols.org/util/geo/visuGen.php?code=FR-73-1360","FR-73-1360")</f>
        <v>FR-73-1360</v>
      </c>
      <c r="K676" s="3"/>
      <c r="L676" s="1" t="s">
        <v>5726</v>
      </c>
      <c r="M676" s="8">
        <v>99</v>
      </c>
      <c r="N676" s="8">
        <v>15</v>
      </c>
      <c r="O676" s="4"/>
      <c r="P676" s="3"/>
      <c r="Q676" s="3" t="s">
        <v>302</v>
      </c>
      <c r="R676" s="3" t="s">
        <v>303</v>
      </c>
      <c r="S676" s="25">
        <v>6.735814248266558</v>
      </c>
      <c r="T676" s="25">
        <v>45.21840312386064</v>
      </c>
      <c r="U676" s="2">
        <v>32</v>
      </c>
      <c r="V676" s="3">
        <v>322227</v>
      </c>
      <c r="W676" s="3">
        <v>5009707</v>
      </c>
      <c r="X676" s="25">
        <v>4.887886405284501</v>
      </c>
      <c r="Y676" s="25">
        <v>50.24268399875105</v>
      </c>
      <c r="Z676" s="6"/>
      <c r="AA676" s="7" t="s">
        <v>5138</v>
      </c>
      <c r="AB676" s="8">
        <v>2002</v>
      </c>
      <c r="AC676" s="9"/>
      <c r="AD676" s="10">
        <v>1</v>
      </c>
      <c r="AE676" s="31" t="s">
        <v>304</v>
      </c>
    </row>
    <row r="677" spans="1:31" ht="12.75">
      <c r="A677" s="18" t="s">
        <v>1109</v>
      </c>
      <c r="B677" s="46" t="s">
        <v>5815</v>
      </c>
      <c r="C677" s="46" t="s">
        <v>1110</v>
      </c>
      <c r="D677" s="46" t="s">
        <v>1111</v>
      </c>
      <c r="E677" s="47">
        <v>1365</v>
      </c>
      <c r="F677" s="47">
        <v>53</v>
      </c>
      <c r="G677" s="47" t="s">
        <v>265</v>
      </c>
      <c r="H677" s="47" t="s">
        <v>1112</v>
      </c>
      <c r="I677" s="47" t="s">
        <v>1113</v>
      </c>
      <c r="J677" s="44" t="str">
        <f>HYPERLINK("https://www.centcols.org/util/geo/visuGen.php?code=FR-73-1365","FR-73-1365")</f>
        <v>FR-73-1365</v>
      </c>
      <c r="K677" s="47" t="s">
        <v>1114</v>
      </c>
      <c r="L677" s="46" t="s">
        <v>2924</v>
      </c>
      <c r="M677" s="47">
        <v>0</v>
      </c>
      <c r="N677" s="47">
        <v>0</v>
      </c>
      <c r="O677" s="48"/>
      <c r="P677" s="48"/>
      <c r="Q677" s="47" t="s">
        <v>1115</v>
      </c>
      <c r="R677" s="47" t="s">
        <v>6988</v>
      </c>
      <c r="S677" s="115">
        <v>6.352103</v>
      </c>
      <c r="T677" s="115">
        <v>45.245735</v>
      </c>
      <c r="U677" s="47">
        <v>32</v>
      </c>
      <c r="V677" s="3">
        <v>292200</v>
      </c>
      <c r="W677" s="3">
        <v>5013660</v>
      </c>
      <c r="X677" s="115">
        <v>4.461556</v>
      </c>
      <c r="Y677" s="115">
        <v>50.273056</v>
      </c>
      <c r="Z677" s="48"/>
      <c r="AA677" s="7" t="s">
        <v>5138</v>
      </c>
      <c r="AB677" s="49">
        <v>2020</v>
      </c>
      <c r="AE677" s="111" t="s">
        <v>6676</v>
      </c>
    </row>
    <row r="678" spans="1:31" ht="12.75">
      <c r="A678" s="4" t="s">
        <v>305</v>
      </c>
      <c r="B678" s="1" t="s">
        <v>5731</v>
      </c>
      <c r="C678" s="1" t="s">
        <v>306</v>
      </c>
      <c r="D678" s="1" t="s">
        <v>307</v>
      </c>
      <c r="E678" s="2">
        <v>1448</v>
      </c>
      <c r="F678" s="2">
        <v>53</v>
      </c>
      <c r="G678" s="3" t="s">
        <v>308</v>
      </c>
      <c r="H678" s="3" t="s">
        <v>309</v>
      </c>
      <c r="I678" s="3" t="s">
        <v>310</v>
      </c>
      <c r="J678" s="44" t="str">
        <f>HYPERLINK("https://www.centcols.org/util/geo/visuGen.php?code=FR-73-1448","FR-73-1448")</f>
        <v>FR-73-1448</v>
      </c>
      <c r="K678" s="3"/>
      <c r="L678" s="1" t="s">
        <v>6207</v>
      </c>
      <c r="M678" s="8">
        <v>35</v>
      </c>
      <c r="N678" s="8">
        <v>10</v>
      </c>
      <c r="O678" s="4"/>
      <c r="P678" s="3"/>
      <c r="Q678" s="3" t="s">
        <v>311</v>
      </c>
      <c r="R678" s="3" t="s">
        <v>312</v>
      </c>
      <c r="S678" s="25">
        <v>5.98344987698549</v>
      </c>
      <c r="T678" s="25">
        <v>45.688172725236086</v>
      </c>
      <c r="U678" s="2">
        <v>31</v>
      </c>
      <c r="V678" s="3">
        <v>732307</v>
      </c>
      <c r="W678" s="3">
        <v>5063732</v>
      </c>
      <c r="X678" s="25">
        <v>4.051958143286446</v>
      </c>
      <c r="Y678" s="25">
        <v>50.76466258828935</v>
      </c>
      <c r="Z678" s="6"/>
      <c r="AA678" s="7" t="s">
        <v>5138</v>
      </c>
      <c r="AB678" s="8">
        <v>2003</v>
      </c>
      <c r="AC678" s="9"/>
      <c r="AD678" s="10">
        <v>1</v>
      </c>
      <c r="AE678" s="31" t="s">
        <v>4236</v>
      </c>
    </row>
    <row r="679" spans="1:31" ht="12.75">
      <c r="A679" s="4" t="s">
        <v>313</v>
      </c>
      <c r="B679" s="1" t="s">
        <v>6241</v>
      </c>
      <c r="C679" s="1" t="s">
        <v>314</v>
      </c>
      <c r="D679" s="1" t="s">
        <v>315</v>
      </c>
      <c r="E679" s="2">
        <v>1620</v>
      </c>
      <c r="F679" s="2">
        <v>53</v>
      </c>
      <c r="G679" s="3" t="s">
        <v>273</v>
      </c>
      <c r="H679" s="3" t="s">
        <v>316</v>
      </c>
      <c r="I679" s="3" t="s">
        <v>317</v>
      </c>
      <c r="J679" s="44" t="str">
        <f>HYPERLINK("https://www.centcols.org/util/geo/visuGen.php?code=FR-73-1620a","FR-73-1620a")</f>
        <v>FR-73-1620a</v>
      </c>
      <c r="K679" s="3"/>
      <c r="L679" s="1" t="s">
        <v>5726</v>
      </c>
      <c r="M679" s="8">
        <v>99</v>
      </c>
      <c r="N679" s="8">
        <v>15</v>
      </c>
      <c r="O679" s="4"/>
      <c r="P679" s="3"/>
      <c r="Q679" s="3" t="s">
        <v>318</v>
      </c>
      <c r="R679" s="3" t="s">
        <v>319</v>
      </c>
      <c r="S679" s="25">
        <v>6.339563647771489</v>
      </c>
      <c r="T679" s="25">
        <v>45.705929637422116</v>
      </c>
      <c r="U679" s="2">
        <v>32</v>
      </c>
      <c r="V679" s="3">
        <v>292909</v>
      </c>
      <c r="W679" s="3">
        <v>5064818</v>
      </c>
      <c r="X679" s="25">
        <v>4.447625807825205</v>
      </c>
      <c r="Y679" s="25">
        <v>50.78439134827897</v>
      </c>
      <c r="Z679" s="6"/>
      <c r="AA679" s="7" t="s">
        <v>5138</v>
      </c>
      <c r="AB679" s="8">
        <v>2011</v>
      </c>
      <c r="AC679" s="9"/>
      <c r="AD679" s="10">
        <v>1</v>
      </c>
      <c r="AE679" s="31" t="s">
        <v>320</v>
      </c>
    </row>
    <row r="680" spans="1:31" ht="12.75">
      <c r="A680" s="4" t="s">
        <v>321</v>
      </c>
      <c r="B680" s="1" t="s">
        <v>5704</v>
      </c>
      <c r="C680" s="1" t="s">
        <v>5641</v>
      </c>
      <c r="D680" s="1" t="s">
        <v>3598</v>
      </c>
      <c r="E680" s="2">
        <v>2200</v>
      </c>
      <c r="F680" s="2">
        <v>53</v>
      </c>
      <c r="G680" s="3" t="s">
        <v>322</v>
      </c>
      <c r="H680" s="3" t="s">
        <v>323</v>
      </c>
      <c r="I680" s="3" t="s">
        <v>324</v>
      </c>
      <c r="J680" s="44" t="str">
        <f>HYPERLINK("https://www.centcols.org/util/geo/visuGen.php?code=FR-73-2050","FR-73-2050")</f>
        <v>FR-73-2050</v>
      </c>
      <c r="K680" s="3"/>
      <c r="L680" s="1" t="s">
        <v>5176</v>
      </c>
      <c r="M680" s="8">
        <v>99</v>
      </c>
      <c r="N680" s="8">
        <v>15</v>
      </c>
      <c r="O680" s="4"/>
      <c r="P680" s="3"/>
      <c r="Q680" s="3" t="s">
        <v>325</v>
      </c>
      <c r="R680" s="3" t="s">
        <v>326</v>
      </c>
      <c r="S680" s="25">
        <v>6.729024954179743</v>
      </c>
      <c r="T680" s="25">
        <v>45.36541420584775</v>
      </c>
      <c r="U680" s="2">
        <v>32</v>
      </c>
      <c r="V680" s="3">
        <v>322154</v>
      </c>
      <c r="W680" s="3">
        <v>5026053</v>
      </c>
      <c r="X680" s="25">
        <v>4.880342865653119</v>
      </c>
      <c r="Y680" s="25">
        <v>50.40603326610805</v>
      </c>
      <c r="Z680" s="6"/>
      <c r="AA680" s="7" t="s">
        <v>5176</v>
      </c>
      <c r="AB680" s="8" t="s">
        <v>5802</v>
      </c>
      <c r="AC680" s="9"/>
      <c r="AD680" s="10">
        <v>1</v>
      </c>
      <c r="AE680" s="31" t="s">
        <v>327</v>
      </c>
    </row>
    <row r="681" spans="1:31" ht="12.75">
      <c r="A681" s="23" t="s">
        <v>328</v>
      </c>
      <c r="B681" s="20" t="s">
        <v>329</v>
      </c>
      <c r="C681" s="32" t="s">
        <v>330</v>
      </c>
      <c r="D681" s="1" t="s">
        <v>331</v>
      </c>
      <c r="E681" s="2">
        <v>2053</v>
      </c>
      <c r="F681" s="2">
        <v>53</v>
      </c>
      <c r="G681" s="3" t="s">
        <v>332</v>
      </c>
      <c r="H681" s="3" t="s">
        <v>333</v>
      </c>
      <c r="I681" s="3" t="s">
        <v>334</v>
      </c>
      <c r="J681" s="44" t="str">
        <f>HYPERLINK("https://www.centcols.org/util/geo/visuGen.php?code=FR-73-2053","FR-73-2053")</f>
        <v>FR-73-2053</v>
      </c>
      <c r="K681" s="3"/>
      <c r="L681" s="1" t="s">
        <v>5176</v>
      </c>
      <c r="M681" s="2">
        <v>99</v>
      </c>
      <c r="N681" s="2">
        <v>15</v>
      </c>
      <c r="O681" s="5"/>
      <c r="P681" s="2">
        <v>74</v>
      </c>
      <c r="Q681" s="3" t="s">
        <v>335</v>
      </c>
      <c r="R681" s="3" t="s">
        <v>336</v>
      </c>
      <c r="S681" s="119">
        <v>6.4172089</v>
      </c>
      <c r="T681" s="119">
        <v>45.7984458</v>
      </c>
      <c r="U681" s="22">
        <v>32</v>
      </c>
      <c r="V681" s="3">
        <v>299285</v>
      </c>
      <c r="W681" s="3">
        <v>5074898</v>
      </c>
      <c r="X681" s="25">
        <v>4.533896454741478</v>
      </c>
      <c r="Y681" s="25">
        <v>50.88718807442978</v>
      </c>
      <c r="Z681" s="61"/>
      <c r="AA681" s="54" t="s">
        <v>5138</v>
      </c>
      <c r="AB681" s="54">
        <v>2014</v>
      </c>
      <c r="AC681" s="57"/>
      <c r="AD681" s="54"/>
      <c r="AE681" s="61" t="s">
        <v>337</v>
      </c>
    </row>
    <row r="682" spans="1:31" ht="12.75">
      <c r="A682" s="4" t="s">
        <v>338</v>
      </c>
      <c r="B682" s="1" t="s">
        <v>5815</v>
      </c>
      <c r="C682" s="1" t="s">
        <v>339</v>
      </c>
      <c r="D682" s="1" t="s">
        <v>340</v>
      </c>
      <c r="E682" s="2">
        <v>2067</v>
      </c>
      <c r="F682" s="2">
        <v>53</v>
      </c>
      <c r="G682" s="3" t="s">
        <v>341</v>
      </c>
      <c r="H682" s="3" t="s">
        <v>342</v>
      </c>
      <c r="I682" s="3" t="s">
        <v>343</v>
      </c>
      <c r="J682" s="44" t="str">
        <f>HYPERLINK("https://www.centcols.org/util/geo/visuGen.php?code=FR-73-2067","FR-73-2067")</f>
        <v>FR-73-2067</v>
      </c>
      <c r="K682" s="3"/>
      <c r="L682" s="1" t="s">
        <v>5257</v>
      </c>
      <c r="M682" s="8">
        <v>1</v>
      </c>
      <c r="N682" s="8">
        <v>10</v>
      </c>
      <c r="O682" s="4"/>
      <c r="P682" s="3"/>
      <c r="Q682" s="3" t="s">
        <v>344</v>
      </c>
      <c r="R682" s="3" t="s">
        <v>345</v>
      </c>
      <c r="S682" s="25">
        <v>6.20102415570617</v>
      </c>
      <c r="T682" s="25">
        <v>45.22677410983807</v>
      </c>
      <c r="U682" s="2">
        <v>32</v>
      </c>
      <c r="V682" s="3">
        <v>280270</v>
      </c>
      <c r="W682" s="3">
        <v>5011954</v>
      </c>
      <c r="X682" s="25">
        <v>4.293697032250007</v>
      </c>
      <c r="Y682" s="25">
        <v>50.251989231709004</v>
      </c>
      <c r="Z682" s="6"/>
      <c r="AA682" s="7" t="s">
        <v>5138</v>
      </c>
      <c r="AB682" s="8" t="s">
        <v>5571</v>
      </c>
      <c r="AC682" s="9">
        <v>41213</v>
      </c>
      <c r="AD682" s="10">
        <v>1</v>
      </c>
      <c r="AE682" s="31" t="s">
        <v>346</v>
      </c>
    </row>
    <row r="683" spans="1:31" ht="12.75">
      <c r="A683" s="4" t="s">
        <v>347</v>
      </c>
      <c r="B683" s="1" t="s">
        <v>5656</v>
      </c>
      <c r="C683" s="1" t="s">
        <v>348</v>
      </c>
      <c r="D683" s="1" t="s">
        <v>349</v>
      </c>
      <c r="E683" s="2">
        <v>2200</v>
      </c>
      <c r="F683" s="2">
        <v>53</v>
      </c>
      <c r="G683" s="3" t="s">
        <v>350</v>
      </c>
      <c r="H683" s="3" t="s">
        <v>351</v>
      </c>
      <c r="I683" s="3" t="s">
        <v>352</v>
      </c>
      <c r="J683" s="44" t="str">
        <f>HYPERLINK("https://www.centcols.org/util/geo/visuGen.php?code=FR-73-2200a","FR-73-2200a")</f>
        <v>FR-73-2200a</v>
      </c>
      <c r="K683" s="3"/>
      <c r="L683" s="1" t="s">
        <v>5726</v>
      </c>
      <c r="M683" s="8">
        <v>99</v>
      </c>
      <c r="N683" s="8">
        <v>15</v>
      </c>
      <c r="O683" s="4"/>
      <c r="P683" s="3"/>
      <c r="Q683" s="3" t="s">
        <v>353</v>
      </c>
      <c r="R683" s="3" t="s">
        <v>354</v>
      </c>
      <c r="S683" s="25">
        <v>7.086552528722466</v>
      </c>
      <c r="T683" s="25">
        <v>45.29136820863528</v>
      </c>
      <c r="U683" s="2">
        <v>32</v>
      </c>
      <c r="V683" s="3">
        <v>349958</v>
      </c>
      <c r="W683" s="3">
        <v>5017099</v>
      </c>
      <c r="X683" s="25">
        <v>5.277581691479302</v>
      </c>
      <c r="Y683" s="25">
        <v>50.32375568934471</v>
      </c>
      <c r="Z683" s="6"/>
      <c r="AA683" s="7" t="s">
        <v>5176</v>
      </c>
      <c r="AB683" s="8" t="s">
        <v>1873</v>
      </c>
      <c r="AC683" s="9"/>
      <c r="AD683" s="10">
        <v>1</v>
      </c>
      <c r="AE683" s="31" t="s">
        <v>355</v>
      </c>
    </row>
    <row r="684" spans="1:31" ht="12.75">
      <c r="A684" s="18" t="s">
        <v>1116</v>
      </c>
      <c r="B684" s="46" t="s">
        <v>5262</v>
      </c>
      <c r="C684" s="46" t="s">
        <v>436</v>
      </c>
      <c r="D684" s="46" t="s">
        <v>436</v>
      </c>
      <c r="E684" s="47">
        <v>2229</v>
      </c>
      <c r="F684" s="47">
        <v>71</v>
      </c>
      <c r="G684" s="47" t="s">
        <v>1117</v>
      </c>
      <c r="H684" s="47" t="s">
        <v>1118</v>
      </c>
      <c r="I684" s="47" t="s">
        <v>1119</v>
      </c>
      <c r="J684" s="44" t="str">
        <f>HYPERLINK("https://www.centcols.org/util/geo/visuGen.php?code=FR-73-2229a","FR-73-2229a")</f>
        <v>FR-73-2229a</v>
      </c>
      <c r="K684" s="47" t="s">
        <v>1120</v>
      </c>
      <c r="L684" s="46" t="s">
        <v>5157</v>
      </c>
      <c r="M684" s="47">
        <v>0</v>
      </c>
      <c r="N684" s="47">
        <v>0</v>
      </c>
      <c r="O684" s="48"/>
      <c r="P684" s="48"/>
      <c r="Q684" s="47" t="s">
        <v>1121</v>
      </c>
      <c r="R684" s="47" t="s">
        <v>6989</v>
      </c>
      <c r="S684" s="115">
        <v>6.611093</v>
      </c>
      <c r="T684" s="115">
        <v>45.406039</v>
      </c>
      <c r="U684" s="47">
        <v>32</v>
      </c>
      <c r="V684" s="3">
        <v>313053</v>
      </c>
      <c r="W684" s="3">
        <v>5030834</v>
      </c>
      <c r="X684" s="115">
        <v>4.749312</v>
      </c>
      <c r="Y684" s="115">
        <v>50.451173</v>
      </c>
      <c r="Z684" s="48"/>
      <c r="AA684" s="7" t="s">
        <v>5138</v>
      </c>
      <c r="AB684" s="49">
        <v>2020</v>
      </c>
      <c r="AE684" s="103" t="s">
        <v>6675</v>
      </c>
    </row>
    <row r="685" spans="1:31" ht="12.75">
      <c r="A685" s="4" t="s">
        <v>356</v>
      </c>
      <c r="B685" s="1" t="s">
        <v>6076</v>
      </c>
      <c r="C685" s="1" t="s">
        <v>357</v>
      </c>
      <c r="D685" s="1" t="s">
        <v>358</v>
      </c>
      <c r="E685" s="2">
        <v>2050</v>
      </c>
      <c r="F685" s="2">
        <v>53</v>
      </c>
      <c r="G685" s="3" t="s">
        <v>359</v>
      </c>
      <c r="H685" s="3" t="s">
        <v>360</v>
      </c>
      <c r="I685" s="3" t="s">
        <v>361</v>
      </c>
      <c r="J685" s="44" t="str">
        <f>HYPERLINK("https://www.centcols.org/util/geo/visuGen.php?code=FR-73-2239","FR-73-2239")</f>
        <v>FR-73-2239</v>
      </c>
      <c r="K685" s="3"/>
      <c r="L685" s="1" t="s">
        <v>5726</v>
      </c>
      <c r="M685" s="8">
        <v>99</v>
      </c>
      <c r="N685" s="8">
        <v>15</v>
      </c>
      <c r="O685" s="4"/>
      <c r="P685" s="3"/>
      <c r="Q685" s="3" t="s">
        <v>362</v>
      </c>
      <c r="R685" s="3" t="s">
        <v>363</v>
      </c>
      <c r="S685" s="25">
        <v>6.482834645116669</v>
      </c>
      <c r="T685" s="25">
        <v>45.3581412619687</v>
      </c>
      <c r="U685" s="2">
        <v>32</v>
      </c>
      <c r="V685" s="3">
        <v>302849</v>
      </c>
      <c r="W685" s="3">
        <v>5025819</v>
      </c>
      <c r="X685" s="25">
        <v>4.606808555814426</v>
      </c>
      <c r="Y685" s="25">
        <v>50.39795261358842</v>
      </c>
      <c r="Z685" s="6"/>
      <c r="AA685" s="7" t="s">
        <v>5176</v>
      </c>
      <c r="AB685" s="8" t="s">
        <v>4527</v>
      </c>
      <c r="AC685" s="9"/>
      <c r="AD685" s="10">
        <v>1</v>
      </c>
      <c r="AE685" s="31" t="s">
        <v>364</v>
      </c>
    </row>
    <row r="686" spans="1:31" ht="12.75">
      <c r="A686" s="4" t="s">
        <v>365</v>
      </c>
      <c r="B686" s="1" t="s">
        <v>5731</v>
      </c>
      <c r="C686" s="1" t="s">
        <v>366</v>
      </c>
      <c r="D686" s="1" t="s">
        <v>367</v>
      </c>
      <c r="E686" s="2">
        <v>2400</v>
      </c>
      <c r="F686" s="2">
        <v>53</v>
      </c>
      <c r="G686" s="3" t="s">
        <v>350</v>
      </c>
      <c r="H686" s="3" t="s">
        <v>368</v>
      </c>
      <c r="I686" s="3" t="s">
        <v>369</v>
      </c>
      <c r="J686" s="44" t="str">
        <f>HYPERLINK("https://www.centcols.org/util/geo/visuGen.php?code=FR-73-2400c","FR-73-2400c")</f>
        <v>FR-73-2400c</v>
      </c>
      <c r="K686" s="3"/>
      <c r="L686" s="1" t="s">
        <v>370</v>
      </c>
      <c r="M686" s="8">
        <v>99</v>
      </c>
      <c r="N686" s="8">
        <v>15</v>
      </c>
      <c r="O686" s="4"/>
      <c r="P686" s="3"/>
      <c r="Q686" s="3" t="s">
        <v>371</v>
      </c>
      <c r="R686" s="3" t="s">
        <v>372</v>
      </c>
      <c r="S686" s="25">
        <v>7.086958117544766</v>
      </c>
      <c r="T686" s="25">
        <v>45.27771967245125</v>
      </c>
      <c r="U686" s="2">
        <v>32</v>
      </c>
      <c r="V686" s="3">
        <v>349953</v>
      </c>
      <c r="W686" s="3">
        <v>5015582</v>
      </c>
      <c r="X686" s="25">
        <v>5.278032319356094</v>
      </c>
      <c r="Y686" s="25">
        <v>50.30859036835986</v>
      </c>
      <c r="Z686" s="6"/>
      <c r="AA686" s="7" t="s">
        <v>5138</v>
      </c>
      <c r="AB686" s="8">
        <v>2006</v>
      </c>
      <c r="AC686" s="9"/>
      <c r="AD686" s="10">
        <v>1</v>
      </c>
      <c r="AE686" s="31" t="s">
        <v>373</v>
      </c>
    </row>
    <row r="687" spans="1:31" ht="12.75">
      <c r="A687" s="18" t="s">
        <v>374</v>
      </c>
      <c r="B687" s="20" t="s">
        <v>5128</v>
      </c>
      <c r="C687" s="20" t="s">
        <v>6785</v>
      </c>
      <c r="D687" s="20" t="s">
        <v>375</v>
      </c>
      <c r="E687" s="19">
        <v>2477</v>
      </c>
      <c r="F687" s="14">
        <v>45</v>
      </c>
      <c r="G687" s="19" t="s">
        <v>376</v>
      </c>
      <c r="H687" s="19" t="s">
        <v>377</v>
      </c>
      <c r="I687" s="19" t="s">
        <v>378</v>
      </c>
      <c r="J687" s="44" t="str">
        <f>HYPERLINK("https://www.centcols.org/util/geo/visuGen.php?code=FR-73-2477a","FR-73-2477a")</f>
        <v>FR-73-2477a</v>
      </c>
      <c r="K687" s="19"/>
      <c r="L687" s="20" t="s">
        <v>5176</v>
      </c>
      <c r="M687" s="19">
        <v>99</v>
      </c>
      <c r="N687" s="19">
        <v>15</v>
      </c>
      <c r="O687" s="18"/>
      <c r="P687" s="19">
        <v>74</v>
      </c>
      <c r="Q687" s="19" t="s">
        <v>379</v>
      </c>
      <c r="R687" s="19" t="s">
        <v>380</v>
      </c>
      <c r="S687" s="59">
        <v>6.501758</v>
      </c>
      <c r="T687" s="59">
        <v>45.896443</v>
      </c>
      <c r="U687" s="19">
        <v>32</v>
      </c>
      <c r="V687" s="3">
        <v>306197</v>
      </c>
      <c r="W687" s="3">
        <v>5085577</v>
      </c>
      <c r="X687" s="59">
        <v>4.627836</v>
      </c>
      <c r="Y687" s="59">
        <v>50.996076</v>
      </c>
      <c r="Z687" s="61"/>
      <c r="AA687" s="7" t="s">
        <v>5138</v>
      </c>
      <c r="AB687" s="54">
        <v>2018</v>
      </c>
      <c r="AC687" s="57">
        <v>43199</v>
      </c>
      <c r="AD687" s="54"/>
      <c r="AE687" s="23" t="s">
        <v>381</v>
      </c>
    </row>
    <row r="688" spans="1:31" ht="12.75">
      <c r="A688" s="4" t="s">
        <v>382</v>
      </c>
      <c r="B688" s="1" t="s">
        <v>5202</v>
      </c>
      <c r="C688" s="1" t="s">
        <v>383</v>
      </c>
      <c r="D688" s="1" t="s">
        <v>384</v>
      </c>
      <c r="E688" s="2">
        <v>2430</v>
      </c>
      <c r="F688" s="2">
        <v>53</v>
      </c>
      <c r="G688" s="3" t="s">
        <v>322</v>
      </c>
      <c r="H688" s="3" t="s">
        <v>385</v>
      </c>
      <c r="I688" s="3" t="s">
        <v>386</v>
      </c>
      <c r="J688" s="44" t="str">
        <f>HYPERLINK("https://www.centcols.org/util/geo/visuGen.php?code=FR-73-2592","FR-73-2592")</f>
        <v>FR-73-2592</v>
      </c>
      <c r="K688" s="3"/>
      <c r="L688" s="1" t="s">
        <v>5726</v>
      </c>
      <c r="M688" s="8">
        <v>99</v>
      </c>
      <c r="N688" s="8">
        <v>15</v>
      </c>
      <c r="O688" s="4"/>
      <c r="P688" s="3"/>
      <c r="Q688" s="3" t="s">
        <v>387</v>
      </c>
      <c r="R688" s="3" t="s">
        <v>388</v>
      </c>
      <c r="S688" s="25">
        <v>6.733344976462392</v>
      </c>
      <c r="T688" s="25">
        <v>45.44184195458793</v>
      </c>
      <c r="U688" s="2">
        <v>32</v>
      </c>
      <c r="V688" s="3">
        <v>322732</v>
      </c>
      <c r="W688" s="3">
        <v>5034534</v>
      </c>
      <c r="X688" s="25">
        <v>4.885142775080164</v>
      </c>
      <c r="Y688" s="25">
        <v>50.49095467705834</v>
      </c>
      <c r="Z688" s="6"/>
      <c r="AA688" s="7" t="s">
        <v>5176</v>
      </c>
      <c r="AB688" s="8" t="s">
        <v>4527</v>
      </c>
      <c r="AC688" s="9"/>
      <c r="AD688" s="10">
        <v>1</v>
      </c>
      <c r="AE688" s="31" t="s">
        <v>4595</v>
      </c>
    </row>
    <row r="689" spans="1:31" ht="22.5">
      <c r="A689" s="18" t="s">
        <v>389</v>
      </c>
      <c r="B689" s="62" t="s">
        <v>390</v>
      </c>
      <c r="C689" s="62" t="s">
        <v>391</v>
      </c>
      <c r="D689" s="62" t="s">
        <v>392</v>
      </c>
      <c r="E689" s="24">
        <v>2782</v>
      </c>
      <c r="F689" s="24">
        <v>53</v>
      </c>
      <c r="G689" s="24" t="s">
        <v>393</v>
      </c>
      <c r="H689" s="24" t="s">
        <v>394</v>
      </c>
      <c r="I689" s="24" t="s">
        <v>395</v>
      </c>
      <c r="J689" s="44" t="str">
        <f>HYPERLINK("https://www.centcols.org/util/geo/visuGen.php?code=FR-73-2782","FR-73-2782")</f>
        <v>FR-73-2782</v>
      </c>
      <c r="K689" s="19"/>
      <c r="L689" s="62" t="s">
        <v>6690</v>
      </c>
      <c r="M689" s="24">
        <v>3</v>
      </c>
      <c r="N689" s="24">
        <v>15</v>
      </c>
      <c r="O689" s="18"/>
      <c r="P689" s="19"/>
      <c r="Q689" s="24" t="s">
        <v>396</v>
      </c>
      <c r="R689" s="24" t="s">
        <v>6990</v>
      </c>
      <c r="S689" s="25">
        <v>6.991676</v>
      </c>
      <c r="T689" s="25">
        <v>45.47289</v>
      </c>
      <c r="U689" s="24">
        <v>32</v>
      </c>
      <c r="V689" s="3">
        <v>343021</v>
      </c>
      <c r="W689" s="3">
        <v>5037446</v>
      </c>
      <c r="X689" s="25">
        <v>5.172168</v>
      </c>
      <c r="Y689" s="25">
        <v>50.52545</v>
      </c>
      <c r="Z689" s="18"/>
      <c r="AA689" s="19" t="s">
        <v>5176</v>
      </c>
      <c r="AB689" s="11">
        <v>2019</v>
      </c>
      <c r="AC689" s="60">
        <v>43525</v>
      </c>
      <c r="AD689" s="54"/>
      <c r="AE689" s="33" t="s">
        <v>397</v>
      </c>
    </row>
    <row r="690" spans="1:31" ht="12.75">
      <c r="A690" s="18" t="s">
        <v>1122</v>
      </c>
      <c r="B690" s="46" t="s">
        <v>5534</v>
      </c>
      <c r="C690" s="46" t="s">
        <v>1123</v>
      </c>
      <c r="D690" s="46" t="s">
        <v>1124</v>
      </c>
      <c r="E690" s="47">
        <v>3261</v>
      </c>
      <c r="F690" s="47">
        <v>53</v>
      </c>
      <c r="G690" s="47" t="s">
        <v>1125</v>
      </c>
      <c r="H690" s="47" t="s">
        <v>1142</v>
      </c>
      <c r="I690" s="47" t="s">
        <v>1143</v>
      </c>
      <c r="J690" s="80" t="str">
        <f>HYPERLINK("https://www.centcols.org/util/geo/visuGen.php?code=FR-73-3269a","FR-73-3269a")</f>
        <v>FR-73-3269a</v>
      </c>
      <c r="K690" s="48"/>
      <c r="L690" s="48"/>
      <c r="M690" s="47">
        <v>99</v>
      </c>
      <c r="N690" s="47">
        <v>20</v>
      </c>
      <c r="O690" s="48"/>
      <c r="P690" s="58"/>
      <c r="Q690" s="47" t="s">
        <v>1144</v>
      </c>
      <c r="R690" s="47" t="s">
        <v>6991</v>
      </c>
      <c r="S690" s="120">
        <v>7.001746</v>
      </c>
      <c r="T690" s="120">
        <v>45.6407601</v>
      </c>
      <c r="U690" s="47">
        <v>32</v>
      </c>
      <c r="V690" s="3">
        <v>344273</v>
      </c>
      <c r="W690" s="3">
        <v>5056077</v>
      </c>
      <c r="X690" s="115">
        <v>5.183355</v>
      </c>
      <c r="Y690" s="115">
        <v>50.711975</v>
      </c>
      <c r="Z690" s="48"/>
      <c r="AA690" s="7" t="s">
        <v>5138</v>
      </c>
      <c r="AB690" s="49">
        <v>2020</v>
      </c>
      <c r="AE690" s="34" t="s">
        <v>1145</v>
      </c>
    </row>
    <row r="691" spans="1:31" ht="12.75">
      <c r="A691" s="4" t="s">
        <v>398</v>
      </c>
      <c r="B691" s="1" t="s">
        <v>5128</v>
      </c>
      <c r="C691" s="1" t="s">
        <v>399</v>
      </c>
      <c r="D691" s="1" t="s">
        <v>400</v>
      </c>
      <c r="E691" s="2">
        <v>480</v>
      </c>
      <c r="F691" s="2">
        <v>45</v>
      </c>
      <c r="G691" s="3" t="s">
        <v>401</v>
      </c>
      <c r="H691" s="3" t="s">
        <v>402</v>
      </c>
      <c r="I691" s="3" t="s">
        <v>403</v>
      </c>
      <c r="J691" s="44" t="str">
        <f>HYPERLINK("https://www.centcols.org/util/geo/visuGen.php?code=FR-74-0480","FR-74-0480")</f>
        <v>FR-74-0480</v>
      </c>
      <c r="K691" s="3" t="s">
        <v>404</v>
      </c>
      <c r="L691" s="1" t="s">
        <v>405</v>
      </c>
      <c r="M691" s="8">
        <v>0</v>
      </c>
      <c r="N691" s="8">
        <v>0</v>
      </c>
      <c r="O691" s="4"/>
      <c r="P691" s="3"/>
      <c r="Q691" s="3" t="s">
        <v>406</v>
      </c>
      <c r="R691" s="3" t="s">
        <v>407</v>
      </c>
      <c r="S691" s="25">
        <v>6.053738617183471</v>
      </c>
      <c r="T691" s="25">
        <v>45.94432182436466</v>
      </c>
      <c r="U691" s="2">
        <v>32</v>
      </c>
      <c r="V691" s="3">
        <v>271639</v>
      </c>
      <c r="W691" s="3">
        <v>5092083</v>
      </c>
      <c r="X691" s="25">
        <v>4.130055452698448</v>
      </c>
      <c r="Y691" s="25">
        <v>51.049276770757075</v>
      </c>
      <c r="Z691" s="6"/>
      <c r="AA691" s="7" t="s">
        <v>5138</v>
      </c>
      <c r="AB691" s="8">
        <v>2002</v>
      </c>
      <c r="AC691" s="9"/>
      <c r="AD691" s="10">
        <v>1</v>
      </c>
      <c r="AE691" s="31" t="s">
        <v>408</v>
      </c>
    </row>
    <row r="692" spans="1:31" ht="12.75">
      <c r="A692" s="4" t="s">
        <v>409</v>
      </c>
      <c r="B692" s="1" t="s">
        <v>5589</v>
      </c>
      <c r="C692" s="1" t="s">
        <v>5805</v>
      </c>
      <c r="D692" s="1" t="s">
        <v>5806</v>
      </c>
      <c r="E692" s="2">
        <v>590</v>
      </c>
      <c r="F692" s="2">
        <v>53</v>
      </c>
      <c r="G692" s="3" t="s">
        <v>410</v>
      </c>
      <c r="H692" s="3" t="s">
        <v>411</v>
      </c>
      <c r="I692" s="3" t="s">
        <v>412</v>
      </c>
      <c r="J692" s="44" t="str">
        <f>HYPERLINK("https://www.centcols.org/util/geo/visuGen.php?code=FR-74-0590","FR-74-0590")</f>
        <v>FR-74-0590</v>
      </c>
      <c r="K692" s="3" t="s">
        <v>413</v>
      </c>
      <c r="L692" s="1" t="s">
        <v>5157</v>
      </c>
      <c r="M692" s="8">
        <v>0</v>
      </c>
      <c r="N692" s="8">
        <v>0</v>
      </c>
      <c r="O692" s="4"/>
      <c r="P692" s="3"/>
      <c r="Q692" s="3" t="s">
        <v>414</v>
      </c>
      <c r="R692" s="3" t="s">
        <v>415</v>
      </c>
      <c r="S692" s="25">
        <v>5.996796157850167</v>
      </c>
      <c r="T692" s="25">
        <v>45.80339718591953</v>
      </c>
      <c r="U692" s="2">
        <v>31</v>
      </c>
      <c r="V692" s="3">
        <v>732866</v>
      </c>
      <c r="W692" s="3">
        <v>5076572</v>
      </c>
      <c r="X692" s="25">
        <v>4.066786774789623</v>
      </c>
      <c r="Y692" s="25">
        <v>50.892690812170116</v>
      </c>
      <c r="Z692" s="6"/>
      <c r="AA692" s="7" t="s">
        <v>5138</v>
      </c>
      <c r="AB692" s="8">
        <v>2006</v>
      </c>
      <c r="AC692" s="9"/>
      <c r="AD692" s="10">
        <v>1</v>
      </c>
      <c r="AE692" s="31" t="s">
        <v>4538</v>
      </c>
    </row>
    <row r="693" spans="1:31" ht="12.75">
      <c r="A693" s="4" t="s">
        <v>416</v>
      </c>
      <c r="B693" s="1" t="s">
        <v>5704</v>
      </c>
      <c r="C693" s="1" t="s">
        <v>417</v>
      </c>
      <c r="D693" s="1" t="s">
        <v>418</v>
      </c>
      <c r="E693" s="2">
        <v>670</v>
      </c>
      <c r="F693" s="2">
        <v>53</v>
      </c>
      <c r="G693" s="3" t="s">
        <v>419</v>
      </c>
      <c r="H693" s="3" t="s">
        <v>420</v>
      </c>
      <c r="I693" s="3" t="s">
        <v>421</v>
      </c>
      <c r="J693" s="44" t="str">
        <f>HYPERLINK("https://www.centcols.org/util/geo/visuGen.php?code=FR-74-0640","FR-74-0640")</f>
        <v>FR-74-0640</v>
      </c>
      <c r="K693" s="3"/>
      <c r="L693" s="1" t="s">
        <v>3487</v>
      </c>
      <c r="M693" s="8">
        <v>99</v>
      </c>
      <c r="N693" s="8">
        <v>15</v>
      </c>
      <c r="O693" s="4"/>
      <c r="P693" s="3"/>
      <c r="Q693" s="3" t="s">
        <v>422</v>
      </c>
      <c r="R693" s="3" t="s">
        <v>423</v>
      </c>
      <c r="S693" s="25">
        <v>6.127622</v>
      </c>
      <c r="T693" s="25">
        <v>45.885129</v>
      </c>
      <c r="U693" s="2">
        <v>32</v>
      </c>
      <c r="V693" s="3">
        <v>277128</v>
      </c>
      <c r="W693" s="3">
        <v>5085297</v>
      </c>
      <c r="X693" s="25">
        <v>4.212145</v>
      </c>
      <c r="Y693" s="25">
        <v>50.983506</v>
      </c>
      <c r="Z693" s="6"/>
      <c r="AA693" s="7" t="s">
        <v>5176</v>
      </c>
      <c r="AB693" s="8">
        <v>2016</v>
      </c>
      <c r="AC693" s="9"/>
      <c r="AD693" s="10"/>
      <c r="AE693" s="31" t="s">
        <v>424</v>
      </c>
    </row>
    <row r="694" spans="1:31" ht="12.75">
      <c r="A694" s="4" t="s">
        <v>425</v>
      </c>
      <c r="B694" s="1" t="s">
        <v>5262</v>
      </c>
      <c r="C694" s="1" t="s">
        <v>426</v>
      </c>
      <c r="D694" s="1" t="s">
        <v>426</v>
      </c>
      <c r="E694" s="2">
        <v>948</v>
      </c>
      <c r="F694" s="2">
        <v>45</v>
      </c>
      <c r="G694" s="3" t="s">
        <v>427</v>
      </c>
      <c r="H694" s="3" t="s">
        <v>428</v>
      </c>
      <c r="I694" s="3" t="s">
        <v>429</v>
      </c>
      <c r="J694" s="44" t="str">
        <f>HYPERLINK("https://www.centcols.org/util/geo/visuGen.php?code=FR-74-0948","FR-74-0948")</f>
        <v>FR-74-0948</v>
      </c>
      <c r="K694" s="3" t="s">
        <v>430</v>
      </c>
      <c r="L694" s="1" t="s">
        <v>431</v>
      </c>
      <c r="M694" s="8">
        <v>0</v>
      </c>
      <c r="N694" s="8">
        <v>0</v>
      </c>
      <c r="O694" s="4"/>
      <c r="P694" s="3"/>
      <c r="Q694" s="3" t="s">
        <v>432</v>
      </c>
      <c r="R694" s="3" t="s">
        <v>433</v>
      </c>
      <c r="S694" s="25">
        <v>6.474454412410364</v>
      </c>
      <c r="T694" s="25">
        <v>46.29461930324886</v>
      </c>
      <c r="U694" s="2">
        <v>32</v>
      </c>
      <c r="V694" s="3">
        <v>305484</v>
      </c>
      <c r="W694" s="3">
        <v>5129883</v>
      </c>
      <c r="X694" s="25">
        <v>4.597504672345979</v>
      </c>
      <c r="Y694" s="25">
        <v>51.43849747264825</v>
      </c>
      <c r="Z694" s="6"/>
      <c r="AA694" s="7" t="s">
        <v>5138</v>
      </c>
      <c r="AB694" s="8">
        <v>2005</v>
      </c>
      <c r="AC694" s="9"/>
      <c r="AD694" s="10">
        <v>1</v>
      </c>
      <c r="AE694" s="31" t="s">
        <v>434</v>
      </c>
    </row>
    <row r="695" spans="1:31" s="53" customFormat="1" ht="12.75">
      <c r="A695" s="68" t="s">
        <v>435</v>
      </c>
      <c r="B695" s="65" t="s">
        <v>5262</v>
      </c>
      <c r="C695" s="65" t="s">
        <v>436</v>
      </c>
      <c r="D695" s="65" t="s">
        <v>436</v>
      </c>
      <c r="E695" s="66">
        <v>990</v>
      </c>
      <c r="F695" s="67">
        <v>45</v>
      </c>
      <c r="G695" s="66" t="s">
        <v>437</v>
      </c>
      <c r="H695" s="66" t="s">
        <v>6907</v>
      </c>
      <c r="I695" s="66" t="s">
        <v>6908</v>
      </c>
      <c r="J695" s="126" t="str">
        <f>HYPERLINK("https://www.centcols.org/util/geo/visuGen.php?code=FR-74-0990","FR-74-0990")</f>
        <v>FR-74-0990</v>
      </c>
      <c r="K695" s="66" t="s">
        <v>6909</v>
      </c>
      <c r="L695" s="65" t="s">
        <v>438</v>
      </c>
      <c r="M695" s="66">
        <v>0</v>
      </c>
      <c r="N695" s="66">
        <v>0</v>
      </c>
      <c r="O695" s="68"/>
      <c r="P695" s="66"/>
      <c r="Q695" s="66" t="s">
        <v>6910</v>
      </c>
      <c r="R695" s="66" t="s">
        <v>6992</v>
      </c>
      <c r="S695" s="127">
        <v>6.703142964553681</v>
      </c>
      <c r="T695" s="127">
        <v>45.87523818965488</v>
      </c>
      <c r="U695" s="66">
        <v>32</v>
      </c>
      <c r="V695" s="3" t="s">
        <v>7024</v>
      </c>
      <c r="W695" s="3" t="s">
        <v>7019</v>
      </c>
      <c r="X695" s="127">
        <v>4.851588481220107</v>
      </c>
      <c r="Y695" s="128">
        <v>50.972512706467704</v>
      </c>
      <c r="Z695" s="68"/>
      <c r="AA695" s="66" t="s">
        <v>5138</v>
      </c>
      <c r="AB695" s="42">
        <v>2018</v>
      </c>
      <c r="AC695" s="43">
        <v>43250</v>
      </c>
      <c r="AD695" s="69"/>
      <c r="AE695" s="70" t="s">
        <v>439</v>
      </c>
    </row>
    <row r="696" spans="1:31" ht="12.75">
      <c r="A696" s="4" t="s">
        <v>440</v>
      </c>
      <c r="B696" s="1" t="s">
        <v>5589</v>
      </c>
      <c r="C696" s="1" t="s">
        <v>441</v>
      </c>
      <c r="D696" s="1" t="s">
        <v>442</v>
      </c>
      <c r="E696" s="2">
        <v>1127</v>
      </c>
      <c r="F696" s="2">
        <v>45</v>
      </c>
      <c r="G696" s="3" t="s">
        <v>443</v>
      </c>
      <c r="H696" s="3" t="s">
        <v>444</v>
      </c>
      <c r="I696" s="3" t="s">
        <v>445</v>
      </c>
      <c r="J696" s="44" t="str">
        <f>HYPERLINK("https://www.centcols.org/util/geo/visuGen.php?code=FR-74-1127","FR-74-1127")</f>
        <v>FR-74-1127</v>
      </c>
      <c r="K696" s="3"/>
      <c r="L696" s="1" t="s">
        <v>5726</v>
      </c>
      <c r="M696" s="8">
        <v>99</v>
      </c>
      <c r="N696" s="8">
        <v>15</v>
      </c>
      <c r="O696" s="4"/>
      <c r="P696" s="3"/>
      <c r="Q696" s="3" t="s">
        <v>446</v>
      </c>
      <c r="R696" s="3" t="s">
        <v>447</v>
      </c>
      <c r="S696" s="25">
        <v>6.437908970433901</v>
      </c>
      <c r="T696" s="25">
        <v>46.09756076668914</v>
      </c>
      <c r="U696" s="2">
        <v>32</v>
      </c>
      <c r="V696" s="3">
        <v>301963</v>
      </c>
      <c r="W696" s="3">
        <v>5108079</v>
      </c>
      <c r="X696" s="25">
        <v>4.556898539227604</v>
      </c>
      <c r="Y696" s="25">
        <v>51.219541248023255</v>
      </c>
      <c r="Z696" s="6"/>
      <c r="AA696" s="7" t="s">
        <v>5138</v>
      </c>
      <c r="AB696" s="8" t="s">
        <v>5571</v>
      </c>
      <c r="AC696" s="9">
        <v>41224</v>
      </c>
      <c r="AD696" s="10">
        <v>1</v>
      </c>
      <c r="AE696" s="31" t="s">
        <v>448</v>
      </c>
    </row>
    <row r="697" spans="1:31" ht="12.75">
      <c r="A697" s="4" t="s">
        <v>449</v>
      </c>
      <c r="B697" s="1" t="s">
        <v>5704</v>
      </c>
      <c r="C697" s="1" t="s">
        <v>3901</v>
      </c>
      <c r="D697" s="1" t="s">
        <v>3902</v>
      </c>
      <c r="E697" s="2">
        <v>1200</v>
      </c>
      <c r="F697" s="2">
        <v>53</v>
      </c>
      <c r="G697" s="3" t="s">
        <v>450</v>
      </c>
      <c r="H697" s="3" t="s">
        <v>451</v>
      </c>
      <c r="I697" s="3" t="s">
        <v>452</v>
      </c>
      <c r="J697" s="44" t="str">
        <f>HYPERLINK("https://www.centcols.org/util/geo/visuGen.php?code=FR-74-1200","FR-74-1200")</f>
        <v>FR-74-1200</v>
      </c>
      <c r="K697" s="3"/>
      <c r="L697" s="1" t="s">
        <v>453</v>
      </c>
      <c r="M697" s="8">
        <v>1</v>
      </c>
      <c r="N697" s="36">
        <v>10</v>
      </c>
      <c r="O697" s="4"/>
      <c r="P697" s="8"/>
      <c r="Q697" s="3" t="s">
        <v>454</v>
      </c>
      <c r="R697" s="3" t="s">
        <v>455</v>
      </c>
      <c r="S697" s="25">
        <v>6.290655</v>
      </c>
      <c r="T697" s="25">
        <v>45.70598</v>
      </c>
      <c r="U697" s="22">
        <v>32</v>
      </c>
      <c r="V697" s="3">
        <v>289103</v>
      </c>
      <c r="W697" s="3">
        <v>5064951</v>
      </c>
      <c r="X697" s="25">
        <v>4.393284663252126</v>
      </c>
      <c r="Y697" s="25">
        <v>50.78444756880199</v>
      </c>
      <c r="Z697" s="26"/>
      <c r="AA697" s="7" t="s">
        <v>5176</v>
      </c>
      <c r="AB697" s="8">
        <v>2017</v>
      </c>
      <c r="AC697" s="9"/>
      <c r="AD697" s="10"/>
      <c r="AE697" s="31" t="s">
        <v>456</v>
      </c>
    </row>
    <row r="698" spans="1:31" ht="12.75">
      <c r="A698" s="4" t="s">
        <v>457</v>
      </c>
      <c r="B698" s="1" t="s">
        <v>458</v>
      </c>
      <c r="C698" s="1" t="s">
        <v>459</v>
      </c>
      <c r="D698" s="1" t="s">
        <v>460</v>
      </c>
      <c r="E698" s="2">
        <v>1250</v>
      </c>
      <c r="F698" s="2">
        <v>45</v>
      </c>
      <c r="G698" s="3" t="s">
        <v>461</v>
      </c>
      <c r="H698" s="3" t="s">
        <v>462</v>
      </c>
      <c r="I698" s="3" t="s">
        <v>463</v>
      </c>
      <c r="J698" s="44" t="str">
        <f>HYPERLINK("https://www.centcols.org/util/geo/visuGen.php?code=FR-74-1250","FR-74-1250")</f>
        <v>FR-74-1250</v>
      </c>
      <c r="K698" s="3"/>
      <c r="L698" s="1" t="s">
        <v>5176</v>
      </c>
      <c r="M698" s="8">
        <v>99</v>
      </c>
      <c r="N698" s="8">
        <v>20</v>
      </c>
      <c r="O698" s="4"/>
      <c r="P698" s="3"/>
      <c r="Q698" s="3" t="s">
        <v>464</v>
      </c>
      <c r="R698" s="3" t="s">
        <v>465</v>
      </c>
      <c r="S698" s="25">
        <v>6.301502</v>
      </c>
      <c r="T698" s="25">
        <v>45.97234</v>
      </c>
      <c r="U698" s="2">
        <v>32</v>
      </c>
      <c r="V698" s="3">
        <v>290947</v>
      </c>
      <c r="W698" s="3">
        <v>5094515</v>
      </c>
      <c r="X698" s="25">
        <v>4.405338865432939</v>
      </c>
      <c r="Y698" s="25">
        <v>51.080407098521576</v>
      </c>
      <c r="Z698" s="6"/>
      <c r="AA698" s="7" t="s">
        <v>5138</v>
      </c>
      <c r="AB698" s="8">
        <v>2015</v>
      </c>
      <c r="AC698" s="9"/>
      <c r="AD698" s="10"/>
      <c r="AE698" s="31" t="s">
        <v>466</v>
      </c>
    </row>
    <row r="699" spans="1:31" ht="12.75">
      <c r="A699" s="4" t="s">
        <v>467</v>
      </c>
      <c r="B699" s="1" t="s">
        <v>5262</v>
      </c>
      <c r="C699" s="1" t="s">
        <v>468</v>
      </c>
      <c r="D699" s="1" t="s">
        <v>468</v>
      </c>
      <c r="E699" s="2">
        <v>1260</v>
      </c>
      <c r="F699" s="2">
        <v>45</v>
      </c>
      <c r="G699" s="3" t="s">
        <v>443</v>
      </c>
      <c r="H699" s="3" t="s">
        <v>469</v>
      </c>
      <c r="I699" s="3" t="s">
        <v>470</v>
      </c>
      <c r="J699" s="44" t="str">
        <f>HYPERLINK("https://www.centcols.org/util/geo/visuGen.php?code=FR-74-1260","FR-74-1260")</f>
        <v>FR-74-1260</v>
      </c>
      <c r="K699" s="3"/>
      <c r="L699" s="1" t="s">
        <v>5726</v>
      </c>
      <c r="M699" s="8">
        <v>99</v>
      </c>
      <c r="N699" s="8">
        <v>15</v>
      </c>
      <c r="O699" s="4"/>
      <c r="P699" s="3"/>
      <c r="Q699" s="3" t="s">
        <v>471</v>
      </c>
      <c r="R699" s="3" t="s">
        <v>472</v>
      </c>
      <c r="S699" s="25">
        <v>6.350445</v>
      </c>
      <c r="T699" s="25">
        <v>46.188571</v>
      </c>
      <c r="U699" s="2">
        <v>32</v>
      </c>
      <c r="V699" s="3">
        <v>295540</v>
      </c>
      <c r="W699" s="3">
        <v>5118412</v>
      </c>
      <c r="X699" s="25">
        <v>4.459719</v>
      </c>
      <c r="Y699" s="25">
        <v>51.320666</v>
      </c>
      <c r="Z699" s="6"/>
      <c r="AA699" s="7" t="s">
        <v>5138</v>
      </c>
      <c r="AB699" s="8">
        <v>2015</v>
      </c>
      <c r="AC699" s="9">
        <v>42297</v>
      </c>
      <c r="AD699" s="10"/>
      <c r="AE699" s="31" t="s">
        <v>473</v>
      </c>
    </row>
    <row r="700" spans="1:31" ht="12.75">
      <c r="A700" s="4" t="s">
        <v>474</v>
      </c>
      <c r="B700" s="1" t="s">
        <v>5262</v>
      </c>
      <c r="C700" s="1" t="s">
        <v>475</v>
      </c>
      <c r="D700" s="1" t="s">
        <v>475</v>
      </c>
      <c r="E700" s="2">
        <v>1333</v>
      </c>
      <c r="F700" s="2">
        <v>45</v>
      </c>
      <c r="G700" s="3" t="s">
        <v>476</v>
      </c>
      <c r="H700" s="3" t="s">
        <v>477</v>
      </c>
      <c r="I700" s="3" t="s">
        <v>478</v>
      </c>
      <c r="J700" s="44" t="str">
        <f>HYPERLINK("https://www.centcols.org/util/geo/visuGen.php?code=FR-74-1333","FR-74-1333")</f>
        <v>FR-74-1333</v>
      </c>
      <c r="K700" s="3"/>
      <c r="L700" s="1" t="s">
        <v>5257</v>
      </c>
      <c r="M700" s="8">
        <v>1</v>
      </c>
      <c r="N700" s="8">
        <v>10</v>
      </c>
      <c r="O700" s="4"/>
      <c r="P700" s="3"/>
      <c r="Q700" s="3" t="s">
        <v>479</v>
      </c>
      <c r="R700" s="3" t="s">
        <v>480</v>
      </c>
      <c r="S700" s="25">
        <v>6.491784916163546</v>
      </c>
      <c r="T700" s="25">
        <v>45.93067226320867</v>
      </c>
      <c r="U700" s="2">
        <v>32</v>
      </c>
      <c r="V700" s="3">
        <v>305543</v>
      </c>
      <c r="W700" s="3">
        <v>5089404</v>
      </c>
      <c r="X700" s="25">
        <v>4.616755599266378</v>
      </c>
      <c r="Y700" s="25">
        <v>51.03410866896972</v>
      </c>
      <c r="Z700" s="6"/>
      <c r="AA700" s="7" t="s">
        <v>5138</v>
      </c>
      <c r="AB700" s="8">
        <v>2014</v>
      </c>
      <c r="AC700" s="9">
        <v>41637</v>
      </c>
      <c r="AD700" s="10"/>
      <c r="AE700" s="31" t="s">
        <v>481</v>
      </c>
    </row>
    <row r="701" spans="1:31" ht="12.75">
      <c r="A701" s="4" t="s">
        <v>482</v>
      </c>
      <c r="B701" s="1" t="s">
        <v>5202</v>
      </c>
      <c r="C701" s="1" t="s">
        <v>483</v>
      </c>
      <c r="D701" s="1" t="s">
        <v>484</v>
      </c>
      <c r="E701" s="2">
        <v>1450</v>
      </c>
      <c r="F701" s="2">
        <v>45</v>
      </c>
      <c r="G701" s="3" t="s">
        <v>485</v>
      </c>
      <c r="H701" s="3" t="s">
        <v>486</v>
      </c>
      <c r="I701" s="3" t="s">
        <v>487</v>
      </c>
      <c r="J701" s="44" t="str">
        <f>HYPERLINK("https://www.centcols.org/util/geo/visuGen.php?code=FR-74-1450","FR-74-1450")</f>
        <v>FR-74-1450</v>
      </c>
      <c r="K701" s="3"/>
      <c r="L701" s="1" t="s">
        <v>5726</v>
      </c>
      <c r="M701" s="8">
        <v>99</v>
      </c>
      <c r="N701" s="8">
        <v>15</v>
      </c>
      <c r="O701" s="4"/>
      <c r="P701" s="3"/>
      <c r="Q701" s="3" t="s">
        <v>488</v>
      </c>
      <c r="R701" s="3" t="s">
        <v>489</v>
      </c>
      <c r="S701" s="25">
        <v>6.275613890521969</v>
      </c>
      <c r="T701" s="25">
        <v>45.91665416728026</v>
      </c>
      <c r="U701" s="2">
        <v>32</v>
      </c>
      <c r="V701" s="3">
        <v>288730</v>
      </c>
      <c r="W701" s="3">
        <v>5088397</v>
      </c>
      <c r="X701" s="25">
        <v>4.376574852950378</v>
      </c>
      <c r="Y701" s="25">
        <v>51.018533316531126</v>
      </c>
      <c r="Z701" s="6"/>
      <c r="AA701" s="7" t="s">
        <v>5176</v>
      </c>
      <c r="AB701" s="8" t="s">
        <v>5802</v>
      </c>
      <c r="AC701" s="9"/>
      <c r="AD701" s="10">
        <v>1</v>
      </c>
      <c r="AE701" s="31" t="s">
        <v>490</v>
      </c>
    </row>
    <row r="702" spans="1:31" ht="12.75">
      <c r="A702" s="4" t="s">
        <v>491</v>
      </c>
      <c r="B702" s="1" t="s">
        <v>4238</v>
      </c>
      <c r="C702" s="1" t="s">
        <v>492</v>
      </c>
      <c r="D702" s="1" t="s">
        <v>493</v>
      </c>
      <c r="E702" s="2">
        <v>1500</v>
      </c>
      <c r="F702" s="2">
        <v>53</v>
      </c>
      <c r="G702" s="3" t="s">
        <v>419</v>
      </c>
      <c r="H702" s="3" t="s">
        <v>494</v>
      </c>
      <c r="I702" s="3" t="s">
        <v>495</v>
      </c>
      <c r="J702" s="44" t="str">
        <f>HYPERLINK("https://www.centcols.org/util/geo/visuGen.php?code=FR-74-1500d","FR-74-1500d")</f>
        <v>FR-74-1500d</v>
      </c>
      <c r="K702" s="3"/>
      <c r="L702" s="1"/>
      <c r="M702" s="8">
        <v>99</v>
      </c>
      <c r="N702" s="8">
        <v>20</v>
      </c>
      <c r="O702" s="4"/>
      <c r="P702" s="3"/>
      <c r="Q702" s="3" t="s">
        <v>496</v>
      </c>
      <c r="R702" s="3" t="s">
        <v>497</v>
      </c>
      <c r="S702" s="25">
        <v>6.267198270595986</v>
      </c>
      <c r="T702" s="25">
        <v>45.877348960516585</v>
      </c>
      <c r="U702" s="2">
        <v>32</v>
      </c>
      <c r="V702" s="3">
        <v>287928</v>
      </c>
      <c r="W702" s="3">
        <v>5084052</v>
      </c>
      <c r="X702" s="25">
        <v>4.367224163151487</v>
      </c>
      <c r="Y702" s="25">
        <v>50.97486029535527</v>
      </c>
      <c r="Z702" s="6"/>
      <c r="AA702" s="7" t="s">
        <v>5138</v>
      </c>
      <c r="AB702" s="8">
        <v>2002</v>
      </c>
      <c r="AC702" s="9"/>
      <c r="AD702" s="10">
        <v>1</v>
      </c>
      <c r="AE702" s="31" t="s">
        <v>498</v>
      </c>
    </row>
    <row r="703" spans="1:31" ht="12.75">
      <c r="A703" s="4" t="s">
        <v>499</v>
      </c>
      <c r="B703" s="1" t="s">
        <v>329</v>
      </c>
      <c r="C703" s="1" t="s">
        <v>500</v>
      </c>
      <c r="D703" s="1" t="s">
        <v>501</v>
      </c>
      <c r="E703" s="2">
        <v>1555</v>
      </c>
      <c r="F703" s="2">
        <v>53</v>
      </c>
      <c r="G703" s="3" t="s">
        <v>410</v>
      </c>
      <c r="H703" s="3" t="s">
        <v>502</v>
      </c>
      <c r="I703" s="3" t="s">
        <v>503</v>
      </c>
      <c r="J703" s="44" t="str">
        <f>HYPERLINK("https://www.centcols.org/util/geo/visuGen.php?code=FR-74-1555","FR-74-1555")</f>
        <v>FR-74-1555</v>
      </c>
      <c r="K703" s="3"/>
      <c r="L703" s="1" t="s">
        <v>6022</v>
      </c>
      <c r="M703" s="8">
        <v>2</v>
      </c>
      <c r="N703" s="8">
        <v>15</v>
      </c>
      <c r="O703" s="4"/>
      <c r="P703" s="3"/>
      <c r="Q703" s="3" t="s">
        <v>504</v>
      </c>
      <c r="R703" s="3" t="s">
        <v>505</v>
      </c>
      <c r="S703" s="25">
        <v>6.089999545742119</v>
      </c>
      <c r="T703" s="25">
        <v>45.77507372282666</v>
      </c>
      <c r="U703" s="2">
        <v>32</v>
      </c>
      <c r="V703" s="3">
        <v>273763</v>
      </c>
      <c r="W703" s="3">
        <v>5073176</v>
      </c>
      <c r="X703" s="25">
        <v>4.170342325398284</v>
      </c>
      <c r="Y703" s="25">
        <v>50.86121996137095</v>
      </c>
      <c r="Z703" s="6"/>
      <c r="AA703" s="7" t="s">
        <v>5138</v>
      </c>
      <c r="AB703" s="8">
        <v>2005</v>
      </c>
      <c r="AC703" s="9"/>
      <c r="AD703" s="10">
        <v>1</v>
      </c>
      <c r="AE703" s="31" t="s">
        <v>506</v>
      </c>
    </row>
    <row r="704" spans="1:31" ht="12.75">
      <c r="A704" s="4" t="s">
        <v>507</v>
      </c>
      <c r="B704" s="1" t="s">
        <v>5815</v>
      </c>
      <c r="C704" s="1" t="s">
        <v>508</v>
      </c>
      <c r="D704" s="1" t="s">
        <v>509</v>
      </c>
      <c r="E704" s="2">
        <v>1687</v>
      </c>
      <c r="F704" s="2">
        <v>45</v>
      </c>
      <c r="G704" s="3" t="s">
        <v>510</v>
      </c>
      <c r="H704" s="3" t="s">
        <v>511</v>
      </c>
      <c r="I704" s="3" t="s">
        <v>512</v>
      </c>
      <c r="J704" s="44" t="str">
        <f>HYPERLINK("https://www.centcols.org/util/geo/visuGen.php?code=FR-74-1653a","FR-74-1653a")</f>
        <v>FR-74-1653a</v>
      </c>
      <c r="K704" s="3"/>
      <c r="L704" s="1" t="s">
        <v>513</v>
      </c>
      <c r="M704" s="8">
        <v>2</v>
      </c>
      <c r="N704" s="8">
        <v>10</v>
      </c>
      <c r="O704" s="4"/>
      <c r="P704" s="3"/>
      <c r="Q704" s="3" t="s">
        <v>514</v>
      </c>
      <c r="R704" s="3" t="s">
        <v>515</v>
      </c>
      <c r="S704" s="25">
        <v>6.865201277198694</v>
      </c>
      <c r="T704" s="25">
        <v>46.26489723248774</v>
      </c>
      <c r="U704" s="2">
        <v>32</v>
      </c>
      <c r="V704" s="3">
        <v>335490</v>
      </c>
      <c r="W704" s="3">
        <v>5125695</v>
      </c>
      <c r="X704" s="25">
        <v>5.0316506068219455</v>
      </c>
      <c r="Y704" s="25">
        <v>51.40547108825067</v>
      </c>
      <c r="Z704" s="6"/>
      <c r="AA704" s="7" t="s">
        <v>5138</v>
      </c>
      <c r="AB704" s="8">
        <v>2005</v>
      </c>
      <c r="AC704" s="9"/>
      <c r="AD704" s="10">
        <v>1</v>
      </c>
      <c r="AE704" s="31" t="s">
        <v>516</v>
      </c>
    </row>
    <row r="705" spans="1:31" ht="12.75">
      <c r="A705" s="4" t="s">
        <v>517</v>
      </c>
      <c r="B705" s="1" t="s">
        <v>3545</v>
      </c>
      <c r="C705" s="1" t="s">
        <v>518</v>
      </c>
      <c r="D705" s="1" t="s">
        <v>519</v>
      </c>
      <c r="E705" s="2">
        <v>1800</v>
      </c>
      <c r="F705" s="2">
        <v>45</v>
      </c>
      <c r="G705" s="3" t="s">
        <v>476</v>
      </c>
      <c r="H705" s="3" t="s">
        <v>520</v>
      </c>
      <c r="I705" s="3" t="s">
        <v>521</v>
      </c>
      <c r="J705" s="44" t="str">
        <f>HYPERLINK("https://www.centcols.org/util/geo/visuGen.php?code=FR-74-1800b","FR-74-1800b")</f>
        <v>FR-74-1800b</v>
      </c>
      <c r="K705" s="3"/>
      <c r="L705" s="1" t="s">
        <v>5726</v>
      </c>
      <c r="M705" s="8">
        <v>99</v>
      </c>
      <c r="N705" s="8">
        <v>15</v>
      </c>
      <c r="O705" s="4"/>
      <c r="P705" s="3"/>
      <c r="Q705" s="3" t="s">
        <v>522</v>
      </c>
      <c r="R705" s="3" t="s">
        <v>523</v>
      </c>
      <c r="S705" s="25">
        <v>6.588440141179272</v>
      </c>
      <c r="T705" s="25">
        <v>45.989365173654285</v>
      </c>
      <c r="U705" s="2">
        <v>32</v>
      </c>
      <c r="V705" s="3">
        <v>313233</v>
      </c>
      <c r="W705" s="3">
        <v>5095694</v>
      </c>
      <c r="X705" s="25">
        <v>4.724146597139273</v>
      </c>
      <c r="Y705" s="25">
        <v>51.09932281783739</v>
      </c>
      <c r="Z705" s="6"/>
      <c r="AA705" s="7" t="s">
        <v>5176</v>
      </c>
      <c r="AB705" s="8" t="s">
        <v>4636</v>
      </c>
      <c r="AC705" s="9"/>
      <c r="AD705" s="10">
        <v>1</v>
      </c>
      <c r="AE705" s="31" t="s">
        <v>5364</v>
      </c>
    </row>
    <row r="706" spans="1:31" ht="12.75">
      <c r="A706" s="4" t="s">
        <v>524</v>
      </c>
      <c r="B706" s="1" t="s">
        <v>5574</v>
      </c>
      <c r="C706" s="1" t="s">
        <v>525</v>
      </c>
      <c r="D706" s="1" t="s">
        <v>526</v>
      </c>
      <c r="E706" s="2">
        <v>1860</v>
      </c>
      <c r="F706" s="2">
        <v>45</v>
      </c>
      <c r="G706" s="3" t="s">
        <v>476</v>
      </c>
      <c r="H706" s="3" t="s">
        <v>527</v>
      </c>
      <c r="I706" s="3" t="s">
        <v>528</v>
      </c>
      <c r="J706" s="44" t="str">
        <f>HYPERLINK("https://www.centcols.org/util/geo/visuGen.php?code=FR-74-1860","FR-74-1860")</f>
        <v>FR-74-1860</v>
      </c>
      <c r="K706" s="3"/>
      <c r="L706" s="1" t="s">
        <v>3487</v>
      </c>
      <c r="M706" s="8">
        <v>99</v>
      </c>
      <c r="N706" s="8">
        <v>15</v>
      </c>
      <c r="O706" s="4"/>
      <c r="P706" s="3"/>
      <c r="Q706" s="3" t="s">
        <v>529</v>
      </c>
      <c r="R706" s="3" t="s">
        <v>530</v>
      </c>
      <c r="S706" s="25">
        <v>6.573802</v>
      </c>
      <c r="T706" s="25">
        <v>45.948473</v>
      </c>
      <c r="U706" s="2">
        <v>32</v>
      </c>
      <c r="V706" s="3">
        <v>311961</v>
      </c>
      <c r="W706" s="3">
        <v>5091185</v>
      </c>
      <c r="X706" s="25">
        <v>4.707882</v>
      </c>
      <c r="Y706" s="25">
        <v>51.053886</v>
      </c>
      <c r="Z706" s="6"/>
      <c r="AA706" s="7" t="s">
        <v>5176</v>
      </c>
      <c r="AB706" s="8" t="s">
        <v>4527</v>
      </c>
      <c r="AC706" s="9"/>
      <c r="AD706" s="10">
        <v>1</v>
      </c>
      <c r="AE706" s="31" t="s">
        <v>531</v>
      </c>
    </row>
    <row r="707" spans="1:31" ht="12.75">
      <c r="A707" s="4" t="s">
        <v>532</v>
      </c>
      <c r="B707" s="1" t="s">
        <v>6046</v>
      </c>
      <c r="C707" s="1" t="s">
        <v>533</v>
      </c>
      <c r="D707" s="1" t="s">
        <v>534</v>
      </c>
      <c r="E707" s="2">
        <v>1949</v>
      </c>
      <c r="F707" s="2">
        <v>45</v>
      </c>
      <c r="G707" s="3" t="s">
        <v>535</v>
      </c>
      <c r="H707" s="3" t="s">
        <v>536</v>
      </c>
      <c r="I707" s="3" t="s">
        <v>537</v>
      </c>
      <c r="J707" s="44" t="str">
        <f>HYPERLINK("https://www.centcols.org/util/geo/visuGen.php?code=FR-74-1949","FR-74-1949")</f>
        <v>FR-74-1949</v>
      </c>
      <c r="K707" s="3"/>
      <c r="L707" s="1" t="s">
        <v>5176</v>
      </c>
      <c r="M707" s="8">
        <v>99</v>
      </c>
      <c r="N707" s="8">
        <v>20</v>
      </c>
      <c r="O707" s="4"/>
      <c r="P707" s="3"/>
      <c r="Q707" s="3" t="s">
        <v>538</v>
      </c>
      <c r="R707" s="3" t="s">
        <v>539</v>
      </c>
      <c r="S707" s="25">
        <v>6.785982</v>
      </c>
      <c r="T707" s="25">
        <v>46.188698</v>
      </c>
      <c r="U707" s="2">
        <v>32</v>
      </c>
      <c r="V707" s="3">
        <v>329149</v>
      </c>
      <c r="W707" s="3">
        <v>5117396</v>
      </c>
      <c r="X707" s="25">
        <v>4.943632</v>
      </c>
      <c r="Y707" s="25">
        <v>51.320804</v>
      </c>
      <c r="Z707" s="6"/>
      <c r="AA707" s="7" t="s">
        <v>5138</v>
      </c>
      <c r="AB707" s="8">
        <v>2017</v>
      </c>
      <c r="AC707" s="9"/>
      <c r="AD707" s="10"/>
      <c r="AE707" s="31" t="s">
        <v>540</v>
      </c>
    </row>
    <row r="708" spans="1:31" ht="12.75">
      <c r="A708" s="4" t="s">
        <v>541</v>
      </c>
      <c r="B708" s="1" t="s">
        <v>5815</v>
      </c>
      <c r="C708" s="1" t="s">
        <v>542</v>
      </c>
      <c r="D708" s="1" t="s">
        <v>543</v>
      </c>
      <c r="E708" s="2">
        <v>1959</v>
      </c>
      <c r="F708" s="2">
        <v>45</v>
      </c>
      <c r="G708" s="3" t="s">
        <v>535</v>
      </c>
      <c r="H708" s="3" t="s">
        <v>544</v>
      </c>
      <c r="I708" s="3" t="s">
        <v>545</v>
      </c>
      <c r="J708" s="44" t="str">
        <f>HYPERLINK("https://www.centcols.org/util/geo/visuGen.php?code=FR-74-1959","FR-74-1959")</f>
        <v>FR-74-1959</v>
      </c>
      <c r="K708" s="3"/>
      <c r="L708" s="1"/>
      <c r="M708" s="8">
        <v>99</v>
      </c>
      <c r="N708" s="8">
        <v>20</v>
      </c>
      <c r="O708" s="4"/>
      <c r="P708" s="3"/>
      <c r="Q708" s="3" t="s">
        <v>546</v>
      </c>
      <c r="R708" s="3" t="s">
        <v>547</v>
      </c>
      <c r="S708" s="25">
        <v>6.737145</v>
      </c>
      <c r="T708" s="25">
        <v>46.228198</v>
      </c>
      <c r="U708" s="2">
        <v>32</v>
      </c>
      <c r="V708" s="3">
        <v>325506</v>
      </c>
      <c r="W708" s="3">
        <v>5121891</v>
      </c>
      <c r="X708" s="25">
        <v>4.889371</v>
      </c>
      <c r="Y708" s="25">
        <v>51.364694</v>
      </c>
      <c r="Z708" s="6"/>
      <c r="AA708" s="7" t="s">
        <v>5138</v>
      </c>
      <c r="AB708" s="8">
        <v>2017</v>
      </c>
      <c r="AC708" s="9"/>
      <c r="AD708" s="10"/>
      <c r="AE708" s="31" t="s">
        <v>548</v>
      </c>
    </row>
    <row r="709" spans="1:31" ht="12.75">
      <c r="A709" s="4" t="s">
        <v>549</v>
      </c>
      <c r="B709" s="1" t="s">
        <v>550</v>
      </c>
      <c r="C709" s="1" t="s">
        <v>3901</v>
      </c>
      <c r="D709" s="1" t="s">
        <v>551</v>
      </c>
      <c r="E709" s="2">
        <v>2115</v>
      </c>
      <c r="F709" s="2">
        <v>45</v>
      </c>
      <c r="G709" s="3" t="s">
        <v>535</v>
      </c>
      <c r="H709" s="3" t="s">
        <v>552</v>
      </c>
      <c r="I709" s="3" t="s">
        <v>553</v>
      </c>
      <c r="J709" s="44" t="str">
        <f>HYPERLINK("https://www.centcols.org/util/geo/visuGen.php?code=FR-74-2115","FR-74-2115")</f>
        <v>FR-74-2115</v>
      </c>
      <c r="K709" s="3"/>
      <c r="L709" s="1" t="s">
        <v>3487</v>
      </c>
      <c r="M709" s="8">
        <v>99</v>
      </c>
      <c r="N709" s="8" t="s">
        <v>554</v>
      </c>
      <c r="O709" s="4"/>
      <c r="P709" s="3"/>
      <c r="Q709" s="3" t="s">
        <v>555</v>
      </c>
      <c r="R709" s="3" t="s">
        <v>556</v>
      </c>
      <c r="S709" s="25">
        <v>6.83298</v>
      </c>
      <c r="T709" s="25">
        <v>46.112456</v>
      </c>
      <c r="U709" s="2">
        <v>32</v>
      </c>
      <c r="V709" s="3">
        <v>332544</v>
      </c>
      <c r="W709" s="3">
        <v>5108825</v>
      </c>
      <c r="X709" s="25">
        <v>4.995848</v>
      </c>
      <c r="Y709" s="25">
        <v>51.23609</v>
      </c>
      <c r="Z709" s="6"/>
      <c r="AA709" s="7" t="s">
        <v>5176</v>
      </c>
      <c r="AB709" s="8">
        <v>2017</v>
      </c>
      <c r="AC709" s="9"/>
      <c r="AD709" s="10"/>
      <c r="AE709" s="31" t="s">
        <v>557</v>
      </c>
    </row>
    <row r="710" spans="1:31" ht="12.75">
      <c r="A710" s="4" t="s">
        <v>558</v>
      </c>
      <c r="B710" s="1" t="s">
        <v>5128</v>
      </c>
      <c r="C710" s="1" t="s">
        <v>559</v>
      </c>
      <c r="D710" s="1" t="s">
        <v>560</v>
      </c>
      <c r="E710" s="2">
        <v>2469</v>
      </c>
      <c r="F710" s="2">
        <v>45</v>
      </c>
      <c r="G710" s="3" t="s">
        <v>535</v>
      </c>
      <c r="H710" s="3" t="s">
        <v>561</v>
      </c>
      <c r="I710" s="3" t="s">
        <v>562</v>
      </c>
      <c r="J710" s="44" t="str">
        <f>HYPERLINK("https://www.centcols.org/util/geo/visuGen.php?code=FR-74-2469","FR-74-2469")</f>
        <v>FR-74-2469</v>
      </c>
      <c r="K710" s="3"/>
      <c r="L710" s="1"/>
      <c r="M710" s="8">
        <v>99</v>
      </c>
      <c r="N710" s="8">
        <v>20</v>
      </c>
      <c r="O710" s="4"/>
      <c r="P710" s="3"/>
      <c r="Q710" s="3" t="s">
        <v>563</v>
      </c>
      <c r="R710" s="3" t="s">
        <v>564</v>
      </c>
      <c r="S710" s="25">
        <v>6.826201</v>
      </c>
      <c r="T710" s="25">
        <v>46.103642</v>
      </c>
      <c r="U710" s="2">
        <v>32</v>
      </c>
      <c r="V710" s="3">
        <v>331994</v>
      </c>
      <c r="W710" s="3">
        <v>5107860</v>
      </c>
      <c r="X710" s="25">
        <v>4.988316</v>
      </c>
      <c r="Y710" s="25">
        <v>51.226297</v>
      </c>
      <c r="Z710" s="6"/>
      <c r="AA710" s="7" t="s">
        <v>5138</v>
      </c>
      <c r="AB710" s="8">
        <v>2017</v>
      </c>
      <c r="AC710" s="9"/>
      <c r="AD710" s="10"/>
      <c r="AE710" s="31" t="s">
        <v>540</v>
      </c>
    </row>
    <row r="711" spans="1:31" ht="22.5">
      <c r="A711" s="4" t="s">
        <v>565</v>
      </c>
      <c r="B711" s="1" t="s">
        <v>566</v>
      </c>
      <c r="C711" s="1" t="s">
        <v>567</v>
      </c>
      <c r="D711" s="1" t="s">
        <v>568</v>
      </c>
      <c r="E711" s="2">
        <v>3759</v>
      </c>
      <c r="F711" s="2">
        <v>45</v>
      </c>
      <c r="G711" s="3" t="s">
        <v>569</v>
      </c>
      <c r="H711" s="3" t="s">
        <v>570</v>
      </c>
      <c r="I711" s="3" t="s">
        <v>571</v>
      </c>
      <c r="J711" s="44" t="str">
        <f>HYPERLINK("https://www.centcols.org/util/geo/visuGen.php?code=FR-74-3759","FR-74-3759")</f>
        <v>FR-74-3759</v>
      </c>
      <c r="K711" s="3"/>
      <c r="L711" s="1"/>
      <c r="M711" s="8">
        <v>99</v>
      </c>
      <c r="N711" s="8">
        <v>20</v>
      </c>
      <c r="O711" s="4"/>
      <c r="P711" s="3" t="s">
        <v>572</v>
      </c>
      <c r="Q711" s="3" t="s">
        <v>573</v>
      </c>
      <c r="R711" s="3" t="s">
        <v>574</v>
      </c>
      <c r="S711" s="25">
        <v>7.023013</v>
      </c>
      <c r="T711" s="25">
        <v>45.916738</v>
      </c>
      <c r="U711" s="2">
        <v>32</v>
      </c>
      <c r="V711" s="3">
        <v>346689</v>
      </c>
      <c r="W711" s="3">
        <v>5086697</v>
      </c>
      <c r="X711" s="25">
        <v>5.206985</v>
      </c>
      <c r="Y711" s="25">
        <v>51.018622</v>
      </c>
      <c r="Z711" s="6"/>
      <c r="AA711" s="7" t="s">
        <v>5138</v>
      </c>
      <c r="AB711" s="8">
        <v>2017</v>
      </c>
      <c r="AC711" s="9"/>
      <c r="AD711" s="10"/>
      <c r="AE711" s="31" t="s">
        <v>575</v>
      </c>
    </row>
    <row r="712" spans="1:31" ht="22.5">
      <c r="A712" s="4" t="s">
        <v>576</v>
      </c>
      <c r="B712" s="1" t="s">
        <v>2653</v>
      </c>
      <c r="C712" s="1" t="s">
        <v>577</v>
      </c>
      <c r="D712" s="1" t="s">
        <v>578</v>
      </c>
      <c r="E712" s="2">
        <v>156</v>
      </c>
      <c r="F712" s="2">
        <v>7</v>
      </c>
      <c r="G712" s="3" t="s">
        <v>579</v>
      </c>
      <c r="H712" s="3" t="s">
        <v>580</v>
      </c>
      <c r="I712" s="3" t="s">
        <v>581</v>
      </c>
      <c r="J712" s="44" t="str">
        <f>HYPERLINK("https://www.centcols.org/util/geo/visuGen.php?code=FR-76-0156","FR-76-0156")</f>
        <v>FR-76-0156</v>
      </c>
      <c r="K712" s="3" t="s">
        <v>582</v>
      </c>
      <c r="L712" s="1" t="s">
        <v>583</v>
      </c>
      <c r="M712" s="8">
        <v>0</v>
      </c>
      <c r="N712" s="8">
        <v>0</v>
      </c>
      <c r="O712" s="4"/>
      <c r="P712" s="3"/>
      <c r="Q712" s="3" t="s">
        <v>584</v>
      </c>
      <c r="R712" s="3" t="s">
        <v>585</v>
      </c>
      <c r="S712" s="25">
        <v>1.2933495096050118</v>
      </c>
      <c r="T712" s="25">
        <v>49.78690986010338</v>
      </c>
      <c r="U712" s="2">
        <v>31</v>
      </c>
      <c r="V712" s="3">
        <v>377153</v>
      </c>
      <c r="W712" s="3">
        <v>5516336</v>
      </c>
      <c r="X712" s="25">
        <v>-1.1590135295973008</v>
      </c>
      <c r="Y712" s="25">
        <v>55.31886866401513</v>
      </c>
      <c r="Z712" s="6"/>
      <c r="AA712" s="7" t="s">
        <v>5138</v>
      </c>
      <c r="AB712" s="8" t="s">
        <v>5571</v>
      </c>
      <c r="AC712" s="9">
        <v>41226</v>
      </c>
      <c r="AD712" s="10">
        <v>2</v>
      </c>
      <c r="AE712" s="31" t="s">
        <v>586</v>
      </c>
    </row>
    <row r="713" spans="1:31" ht="22.5">
      <c r="A713" s="104" t="s">
        <v>587</v>
      </c>
      <c r="B713" s="1" t="s">
        <v>588</v>
      </c>
      <c r="C713" s="1" t="s">
        <v>589</v>
      </c>
      <c r="D713" s="1" t="s">
        <v>590</v>
      </c>
      <c r="E713" s="2">
        <v>74</v>
      </c>
      <c r="F713" s="2">
        <v>3</v>
      </c>
      <c r="G713" s="3" t="s">
        <v>591</v>
      </c>
      <c r="H713" s="3" t="s">
        <v>592</v>
      </c>
      <c r="I713" s="3" t="s">
        <v>593</v>
      </c>
      <c r="J713" s="44" t="str">
        <f>HYPERLINK("https://www.centcols.org/util/geo/visuGen.php?code=FR-80-0074","FR-80-0074")</f>
        <v>FR-80-0074</v>
      </c>
      <c r="K713" s="3"/>
      <c r="L713" s="1"/>
      <c r="M713" s="2">
        <v>99</v>
      </c>
      <c r="N713" s="2">
        <v>20</v>
      </c>
      <c r="O713" s="5"/>
      <c r="P713" s="3"/>
      <c r="Q713" s="3" t="s">
        <v>594</v>
      </c>
      <c r="R713" s="3" t="s">
        <v>595</v>
      </c>
      <c r="S713" s="59">
        <v>2.452388</v>
      </c>
      <c r="T713" s="59">
        <v>49.922987</v>
      </c>
      <c r="U713" s="22">
        <v>31</v>
      </c>
      <c r="V713" s="3">
        <v>460692</v>
      </c>
      <c r="W713" s="3">
        <v>5530212</v>
      </c>
      <c r="X713" s="25">
        <v>0.12874283250810883</v>
      </c>
      <c r="Y713" s="25">
        <v>55.47005439937502</v>
      </c>
      <c r="Z713" s="18"/>
      <c r="AA713" s="19" t="s">
        <v>5138</v>
      </c>
      <c r="AB713" s="19">
        <v>2018</v>
      </c>
      <c r="AC713" s="12">
        <v>43250</v>
      </c>
      <c r="AD713" s="19"/>
      <c r="AE713" s="23" t="s">
        <v>596</v>
      </c>
    </row>
    <row r="714" spans="1:31" ht="12.75">
      <c r="A714" s="104" t="s">
        <v>597</v>
      </c>
      <c r="B714" s="1" t="s">
        <v>598</v>
      </c>
      <c r="C714" s="1" t="s">
        <v>1807</v>
      </c>
      <c r="D714" s="1" t="s">
        <v>599</v>
      </c>
      <c r="E714" s="2">
        <v>125</v>
      </c>
      <c r="F714" s="2">
        <v>4</v>
      </c>
      <c r="G714" s="3" t="s">
        <v>600</v>
      </c>
      <c r="H714" s="3" t="s">
        <v>601</v>
      </c>
      <c r="I714" s="3" t="s">
        <v>602</v>
      </c>
      <c r="J714" s="44" t="str">
        <f>HYPERLINK("https://www.centcols.org/util/geo/visuGen.php?code=FR-80-0075","FR-80-0075")</f>
        <v>FR-80-0075</v>
      </c>
      <c r="K714" s="3"/>
      <c r="L714" s="1"/>
      <c r="M714" s="2">
        <v>99</v>
      </c>
      <c r="N714" s="2">
        <v>20</v>
      </c>
      <c r="O714" s="5"/>
      <c r="P714" s="3"/>
      <c r="Q714" s="3" t="s">
        <v>603</v>
      </c>
      <c r="R714" s="3" t="s">
        <v>604</v>
      </c>
      <c r="S714" s="59">
        <v>2.965947</v>
      </c>
      <c r="T714" s="59">
        <v>49.757528</v>
      </c>
      <c r="U714" s="22">
        <v>31</v>
      </c>
      <c r="V714" s="3">
        <v>497547</v>
      </c>
      <c r="W714" s="3">
        <v>5511673</v>
      </c>
      <c r="X714" s="25">
        <v>0.6993348442190271</v>
      </c>
      <c r="Y714" s="25">
        <v>55.28621310087918</v>
      </c>
      <c r="Z714" s="18"/>
      <c r="AA714" s="19" t="s">
        <v>5138</v>
      </c>
      <c r="AB714" s="19">
        <v>2018</v>
      </c>
      <c r="AC714" s="12">
        <v>43250</v>
      </c>
      <c r="AD714" s="19"/>
      <c r="AE714" s="23" t="s">
        <v>605</v>
      </c>
    </row>
    <row r="715" spans="1:31" ht="12.75">
      <c r="A715" s="104" t="s">
        <v>606</v>
      </c>
      <c r="B715" s="1" t="s">
        <v>5262</v>
      </c>
      <c r="C715" s="1" t="s">
        <v>607</v>
      </c>
      <c r="D715" s="1" t="s">
        <v>607</v>
      </c>
      <c r="E715" s="2">
        <v>87</v>
      </c>
      <c r="F715" s="2">
        <v>3</v>
      </c>
      <c r="G715" s="3" t="s">
        <v>608</v>
      </c>
      <c r="H715" s="3" t="s">
        <v>609</v>
      </c>
      <c r="I715" s="3" t="s">
        <v>610</v>
      </c>
      <c r="J715" s="44" t="str">
        <f>HYPERLINK("https://www.centcols.org/util/geo/visuGen.php?code=FR-80-0087","FR-80-0087")</f>
        <v>FR-80-0087</v>
      </c>
      <c r="K715" s="3"/>
      <c r="L715" s="1"/>
      <c r="M715" s="2">
        <v>99</v>
      </c>
      <c r="N715" s="2">
        <v>20</v>
      </c>
      <c r="O715" s="5"/>
      <c r="P715" s="3"/>
      <c r="Q715" s="3" t="s">
        <v>611</v>
      </c>
      <c r="R715" s="3" t="s">
        <v>612</v>
      </c>
      <c r="S715" s="59">
        <v>2.091286</v>
      </c>
      <c r="T715" s="59">
        <v>50.080902</v>
      </c>
      <c r="U715" s="22">
        <v>31</v>
      </c>
      <c r="V715" s="3">
        <v>434985</v>
      </c>
      <c r="W715" s="3">
        <v>5548021</v>
      </c>
      <c r="X715" s="25">
        <v>-0.27245855949316533</v>
      </c>
      <c r="Y715" s="25">
        <v>55.645519516663306</v>
      </c>
      <c r="Z715" s="18"/>
      <c r="AA715" s="19" t="s">
        <v>5138</v>
      </c>
      <c r="AB715" s="19">
        <v>2018</v>
      </c>
      <c r="AC715" s="12">
        <v>43250</v>
      </c>
      <c r="AD715" s="19"/>
      <c r="AE715" s="23" t="s">
        <v>613</v>
      </c>
    </row>
    <row r="716" spans="1:31" ht="12.75">
      <c r="A716" s="4" t="s">
        <v>614</v>
      </c>
      <c r="B716" s="1" t="s">
        <v>5128</v>
      </c>
      <c r="C716" s="1" t="s">
        <v>615</v>
      </c>
      <c r="D716" s="1" t="s">
        <v>616</v>
      </c>
      <c r="E716" s="2">
        <v>238</v>
      </c>
      <c r="F716" s="2">
        <v>64</v>
      </c>
      <c r="G716" s="3" t="s">
        <v>617</v>
      </c>
      <c r="H716" s="3" t="s">
        <v>618</v>
      </c>
      <c r="I716" s="3" t="s">
        <v>619</v>
      </c>
      <c r="J716" s="44" t="str">
        <f>HYPERLINK("https://www.centcols.org/util/geo/visuGen.php?code=FR-81-0238","FR-81-0238")</f>
        <v>FR-81-0238</v>
      </c>
      <c r="K716" s="3"/>
      <c r="L716" s="1" t="s">
        <v>5257</v>
      </c>
      <c r="M716" s="8">
        <v>1</v>
      </c>
      <c r="N716" s="8">
        <v>10</v>
      </c>
      <c r="O716" s="4"/>
      <c r="P716" s="3"/>
      <c r="Q716" s="3" t="s">
        <v>620</v>
      </c>
      <c r="R716" s="3" t="s">
        <v>621</v>
      </c>
      <c r="S716" s="25">
        <v>2.16615</v>
      </c>
      <c r="T716" s="25">
        <v>43.719421</v>
      </c>
      <c r="U716" s="2">
        <v>31</v>
      </c>
      <c r="V716" s="3">
        <v>432832</v>
      </c>
      <c r="W716" s="3">
        <v>4841048</v>
      </c>
      <c r="X716" s="25">
        <v>-0.189355</v>
      </c>
      <c r="Y716" s="25">
        <v>48.57715</v>
      </c>
      <c r="Z716" s="6"/>
      <c r="AA716" s="7" t="s">
        <v>5138</v>
      </c>
      <c r="AB716" s="8" t="s">
        <v>5691</v>
      </c>
      <c r="AC716" s="9">
        <v>41988</v>
      </c>
      <c r="AD716" s="10"/>
      <c r="AE716" s="31" t="s">
        <v>622</v>
      </c>
    </row>
    <row r="717" spans="1:31" ht="12.75">
      <c r="A717" s="4" t="s">
        <v>623</v>
      </c>
      <c r="B717" s="1" t="s">
        <v>5923</v>
      </c>
      <c r="C717" s="1" t="s">
        <v>624</v>
      </c>
      <c r="D717" s="1" t="s">
        <v>625</v>
      </c>
      <c r="E717" s="2">
        <v>351</v>
      </c>
      <c r="F717" s="2">
        <v>64</v>
      </c>
      <c r="G717" s="3" t="s">
        <v>626</v>
      </c>
      <c r="H717" s="3" t="s">
        <v>627</v>
      </c>
      <c r="I717" s="3" t="s">
        <v>628</v>
      </c>
      <c r="J717" s="44" t="str">
        <f>HYPERLINK("https://www.centcols.org/util/geo/visuGen.php?code=FR-81-0351","FR-81-0351")</f>
        <v>FR-81-0351</v>
      </c>
      <c r="K717" s="3" t="s">
        <v>629</v>
      </c>
      <c r="L717" s="1" t="s">
        <v>630</v>
      </c>
      <c r="M717" s="8">
        <v>0</v>
      </c>
      <c r="N717" s="8">
        <v>0</v>
      </c>
      <c r="O717" s="4"/>
      <c r="P717" s="3"/>
      <c r="Q717" s="3" t="s">
        <v>631</v>
      </c>
      <c r="R717" s="3" t="s">
        <v>632</v>
      </c>
      <c r="S717" s="25">
        <v>2.371399</v>
      </c>
      <c r="T717" s="25">
        <v>43.93569</v>
      </c>
      <c r="U717" s="2">
        <v>31</v>
      </c>
      <c r="V717" s="3">
        <v>449548</v>
      </c>
      <c r="W717" s="3">
        <v>4864922</v>
      </c>
      <c r="X717" s="25">
        <v>0.038696</v>
      </c>
      <c r="Y717" s="25">
        <v>48.817452</v>
      </c>
      <c r="Z717" s="6"/>
      <c r="AA717" s="7" t="s">
        <v>5138</v>
      </c>
      <c r="AB717" s="8">
        <v>2016</v>
      </c>
      <c r="AC717" s="9"/>
      <c r="AD717" s="10"/>
      <c r="AE717" s="31" t="s">
        <v>633</v>
      </c>
    </row>
    <row r="718" spans="1:31" ht="12.75">
      <c r="A718" s="4" t="s">
        <v>634</v>
      </c>
      <c r="B718" s="1" t="s">
        <v>4061</v>
      </c>
      <c r="C718" s="1" t="s">
        <v>635</v>
      </c>
      <c r="D718" s="1" t="s">
        <v>636</v>
      </c>
      <c r="E718" s="2">
        <v>430</v>
      </c>
      <c r="F718" s="2">
        <v>57</v>
      </c>
      <c r="G718" s="3" t="s">
        <v>637</v>
      </c>
      <c r="H718" s="3" t="s">
        <v>638</v>
      </c>
      <c r="I718" s="3" t="s">
        <v>639</v>
      </c>
      <c r="J718" s="44" t="str">
        <f>HYPERLINK("https://www.centcols.org/util/geo/visuGen.php?code=FR-81-0430","FR-81-0430")</f>
        <v>FR-81-0430</v>
      </c>
      <c r="K718" s="3"/>
      <c r="L718" s="1" t="s">
        <v>5257</v>
      </c>
      <c r="M718" s="8">
        <v>1</v>
      </c>
      <c r="N718" s="8">
        <v>10</v>
      </c>
      <c r="O718" s="4"/>
      <c r="P718" s="3"/>
      <c r="Q718" s="3" t="s">
        <v>640</v>
      </c>
      <c r="R718" s="3" t="s">
        <v>641</v>
      </c>
      <c r="S718" s="25">
        <v>1.7792335245632283</v>
      </c>
      <c r="T718" s="25">
        <v>44.05206156643331</v>
      </c>
      <c r="U718" s="2">
        <v>31</v>
      </c>
      <c r="V718" s="3">
        <v>402211</v>
      </c>
      <c r="W718" s="3">
        <v>4878380</v>
      </c>
      <c r="X718" s="25">
        <v>-0.6192374910560232</v>
      </c>
      <c r="Y718" s="25">
        <v>48.94676079122429</v>
      </c>
      <c r="Z718" s="6"/>
      <c r="AA718" s="7" t="s">
        <v>5138</v>
      </c>
      <c r="AB718" s="8">
        <v>2008</v>
      </c>
      <c r="AC718" s="9"/>
      <c r="AD718" s="10">
        <v>1</v>
      </c>
      <c r="AE718" s="31" t="s">
        <v>4538</v>
      </c>
    </row>
    <row r="719" spans="1:31" ht="12.75">
      <c r="A719" s="4" t="s">
        <v>642</v>
      </c>
      <c r="B719" s="1" t="s">
        <v>5128</v>
      </c>
      <c r="C719" s="1" t="s">
        <v>643</v>
      </c>
      <c r="D719" s="1" t="s">
        <v>644</v>
      </c>
      <c r="E719" s="2">
        <v>434</v>
      </c>
      <c r="F719" s="2">
        <v>57</v>
      </c>
      <c r="G719" s="3" t="s">
        <v>637</v>
      </c>
      <c r="H719" s="3" t="s">
        <v>645</v>
      </c>
      <c r="I719" s="3" t="s">
        <v>646</v>
      </c>
      <c r="J719" s="44" t="str">
        <f>HYPERLINK("https://www.centcols.org/util/geo/visuGen.php?code=FR-81-0434","FR-81-0434")</f>
        <v>FR-81-0434</v>
      </c>
      <c r="K719" s="3" t="s">
        <v>647</v>
      </c>
      <c r="L719" s="1" t="s">
        <v>5157</v>
      </c>
      <c r="M719" s="8">
        <v>0</v>
      </c>
      <c r="N719" s="8">
        <v>0</v>
      </c>
      <c r="O719" s="4"/>
      <c r="P719" s="3"/>
      <c r="Q719" s="3" t="s">
        <v>648</v>
      </c>
      <c r="R719" s="3" t="s">
        <v>649</v>
      </c>
      <c r="S719" s="25">
        <v>1.7311033357322552</v>
      </c>
      <c r="T719" s="25">
        <v>44.0545515070109</v>
      </c>
      <c r="U719" s="2">
        <v>31</v>
      </c>
      <c r="V719" s="3">
        <v>398360</v>
      </c>
      <c r="W719" s="3">
        <v>4878714</v>
      </c>
      <c r="X719" s="25">
        <v>-0.6727129081408159</v>
      </c>
      <c r="Y719" s="25">
        <v>48.94952784430836</v>
      </c>
      <c r="Z719" s="6"/>
      <c r="AA719" s="7" t="s">
        <v>5138</v>
      </c>
      <c r="AB719" s="8" t="s">
        <v>6200</v>
      </c>
      <c r="AC719" s="9">
        <v>41021</v>
      </c>
      <c r="AD719" s="10">
        <v>30</v>
      </c>
      <c r="AE719" s="31" t="s">
        <v>650</v>
      </c>
    </row>
    <row r="720" spans="1:31" ht="12.75">
      <c r="A720" s="4" t="s">
        <v>651</v>
      </c>
      <c r="B720" s="1" t="s">
        <v>5262</v>
      </c>
      <c r="C720" s="1" t="s">
        <v>4138</v>
      </c>
      <c r="D720" s="1" t="s">
        <v>4138</v>
      </c>
      <c r="E720" s="2">
        <v>780</v>
      </c>
      <c r="F720" s="2">
        <v>65</v>
      </c>
      <c r="G720" s="3" t="s">
        <v>652</v>
      </c>
      <c r="H720" s="3" t="s">
        <v>653</v>
      </c>
      <c r="I720" s="3" t="s">
        <v>654</v>
      </c>
      <c r="J720" s="44" t="str">
        <f>HYPERLINK("https://www.centcols.org/util/geo/visuGen.php?code=FR-81-0780","FR-81-0780")</f>
        <v>FR-81-0780</v>
      </c>
      <c r="K720" s="3"/>
      <c r="L720" s="1" t="s">
        <v>5138</v>
      </c>
      <c r="M720" s="8">
        <v>35</v>
      </c>
      <c r="N720" s="8">
        <v>10</v>
      </c>
      <c r="O720" s="4"/>
      <c r="P720" s="3"/>
      <c r="Q720" s="3" t="s">
        <v>655</v>
      </c>
      <c r="R720" s="3" t="s">
        <v>656</v>
      </c>
      <c r="S720" s="25">
        <v>2.6941881474105904</v>
      </c>
      <c r="T720" s="25">
        <v>43.7368492784601</v>
      </c>
      <c r="U720" s="2">
        <v>31</v>
      </c>
      <c r="V720" s="3">
        <v>475374</v>
      </c>
      <c r="W720" s="3">
        <v>4842691</v>
      </c>
      <c r="X720" s="25">
        <v>0.39733212398381856</v>
      </c>
      <c r="Y720" s="25">
        <v>48.596510286097455</v>
      </c>
      <c r="Z720" s="6"/>
      <c r="AA720" s="7" t="s">
        <v>5138</v>
      </c>
      <c r="AB720" s="8">
        <v>2005</v>
      </c>
      <c r="AC720" s="9"/>
      <c r="AD720" s="10">
        <v>1</v>
      </c>
      <c r="AE720" s="31" t="s">
        <v>657</v>
      </c>
    </row>
    <row r="721" spans="1:31" ht="22.5">
      <c r="A721" s="4" t="s">
        <v>658</v>
      </c>
      <c r="B721" s="1" t="s">
        <v>659</v>
      </c>
      <c r="C721" s="1" t="s">
        <v>660</v>
      </c>
      <c r="D721" s="1" t="s">
        <v>661</v>
      </c>
      <c r="E721" s="2">
        <v>227</v>
      </c>
      <c r="F721" s="2">
        <v>64</v>
      </c>
      <c r="G721" s="3" t="s">
        <v>662</v>
      </c>
      <c r="H721" s="3" t="s">
        <v>663</v>
      </c>
      <c r="I721" s="3" t="s">
        <v>664</v>
      </c>
      <c r="J721" s="44" t="str">
        <f>HYPERLINK("https://www.centcols.org/util/geo/visuGen.php?code=FR-82-0227","FR-82-0227")</f>
        <v>FR-82-0227</v>
      </c>
      <c r="K721" s="3"/>
      <c r="L721" s="1" t="s">
        <v>5138</v>
      </c>
      <c r="M721" s="8">
        <v>1</v>
      </c>
      <c r="N721" s="8">
        <v>10</v>
      </c>
      <c r="O721" s="4"/>
      <c r="P721" s="3"/>
      <c r="Q721" s="3" t="s">
        <v>665</v>
      </c>
      <c r="R721" s="3" t="s">
        <v>666</v>
      </c>
      <c r="S721" s="25">
        <v>1.107822</v>
      </c>
      <c r="T721" s="25">
        <v>43.813213</v>
      </c>
      <c r="U721" s="2">
        <v>31</v>
      </c>
      <c r="V721" s="3">
        <v>347820</v>
      </c>
      <c r="W721" s="3">
        <v>4852867</v>
      </c>
      <c r="X721" s="25">
        <v>-1.365222</v>
      </c>
      <c r="Y721" s="25">
        <v>48.681376</v>
      </c>
      <c r="Z721" s="6"/>
      <c r="AA721" s="7" t="s">
        <v>5138</v>
      </c>
      <c r="AB721" s="8">
        <v>2018</v>
      </c>
      <c r="AC721" s="57">
        <v>43199</v>
      </c>
      <c r="AD721" s="10"/>
      <c r="AE721" s="31" t="s">
        <v>667</v>
      </c>
    </row>
    <row r="722" spans="1:31" ht="12.75">
      <c r="A722" s="4" t="s">
        <v>668</v>
      </c>
      <c r="B722" s="1" t="s">
        <v>4249</v>
      </c>
      <c r="C722" s="1" t="s">
        <v>6193</v>
      </c>
      <c r="D722" s="1" t="s">
        <v>3993</v>
      </c>
      <c r="E722" s="2">
        <v>20</v>
      </c>
      <c r="F722" s="2">
        <v>67</v>
      </c>
      <c r="G722" s="3" t="s">
        <v>669</v>
      </c>
      <c r="H722" s="3" t="s">
        <v>670</v>
      </c>
      <c r="I722" s="3" t="s">
        <v>671</v>
      </c>
      <c r="J722" s="44" t="str">
        <f>HYPERLINK("https://www.centcols.org/util/geo/visuGen.php?code=FR-83-0022","FR-83-0022")</f>
        <v>FR-83-0022</v>
      </c>
      <c r="K722" s="3"/>
      <c r="L722" s="1" t="s">
        <v>5157</v>
      </c>
      <c r="M722" s="8">
        <v>99</v>
      </c>
      <c r="N722" s="8">
        <v>0</v>
      </c>
      <c r="O722" s="4"/>
      <c r="P722" s="3"/>
      <c r="Q722" s="3" t="s">
        <v>672</v>
      </c>
      <c r="R722" s="3" t="s">
        <v>673</v>
      </c>
      <c r="S722" s="25">
        <v>5.879335253185303</v>
      </c>
      <c r="T722" s="25">
        <v>43.08431013168339</v>
      </c>
      <c r="U722" s="2">
        <v>31</v>
      </c>
      <c r="V722" s="3">
        <v>734375</v>
      </c>
      <c r="W722" s="3">
        <v>4774202</v>
      </c>
      <c r="X722" s="25">
        <v>3.9362425009265265</v>
      </c>
      <c r="Y722" s="25">
        <v>47.87141842489579</v>
      </c>
      <c r="Z722" s="6"/>
      <c r="AA722" s="7" t="s">
        <v>5138</v>
      </c>
      <c r="AB722" s="8">
        <v>2008</v>
      </c>
      <c r="AC722" s="9"/>
      <c r="AD722" s="10">
        <v>1</v>
      </c>
      <c r="AE722" s="31" t="s">
        <v>674</v>
      </c>
    </row>
    <row r="723" spans="1:31" ht="12.75">
      <c r="A723" s="4" t="s">
        <v>675</v>
      </c>
      <c r="B723" s="1" t="s">
        <v>5741</v>
      </c>
      <c r="C723" s="1" t="s">
        <v>676</v>
      </c>
      <c r="D723" s="1" t="s">
        <v>677</v>
      </c>
      <c r="E723" s="2">
        <v>50</v>
      </c>
      <c r="F723" s="2">
        <v>68</v>
      </c>
      <c r="G723" s="3" t="s">
        <v>678</v>
      </c>
      <c r="H723" s="3" t="s">
        <v>679</v>
      </c>
      <c r="I723" s="3" t="s">
        <v>680</v>
      </c>
      <c r="J723" s="44" t="str">
        <f>HYPERLINK("https://www.centcols.org/util/geo/visuGen.php?code=FR-83-0050","FR-83-0050")</f>
        <v>FR-83-0050</v>
      </c>
      <c r="K723" s="3" t="s">
        <v>681</v>
      </c>
      <c r="L723" s="1" t="s">
        <v>126</v>
      </c>
      <c r="M723" s="8">
        <v>0</v>
      </c>
      <c r="N723" s="8">
        <v>0</v>
      </c>
      <c r="O723" s="4"/>
      <c r="P723" s="3"/>
      <c r="Q723" s="3" t="s">
        <v>682</v>
      </c>
      <c r="R723" s="3" t="s">
        <v>683</v>
      </c>
      <c r="S723" s="25">
        <v>6.216747742588547</v>
      </c>
      <c r="T723" s="25">
        <v>43.17132640504484</v>
      </c>
      <c r="U723" s="2">
        <v>32</v>
      </c>
      <c r="V723" s="3">
        <v>273767</v>
      </c>
      <c r="W723" s="3">
        <v>4783602</v>
      </c>
      <c r="X723" s="25">
        <v>4.311138216942838</v>
      </c>
      <c r="Y723" s="25">
        <v>47.968101493933666</v>
      </c>
      <c r="Z723" s="6"/>
      <c r="AA723" s="7" t="s">
        <v>5138</v>
      </c>
      <c r="AB723" s="8">
        <v>2006</v>
      </c>
      <c r="AC723" s="9"/>
      <c r="AD723" s="10">
        <v>1</v>
      </c>
      <c r="AE723" s="31" t="s">
        <v>684</v>
      </c>
    </row>
    <row r="724" spans="1:31" ht="12.75">
      <c r="A724" s="4" t="s">
        <v>685</v>
      </c>
      <c r="B724" s="1" t="s">
        <v>5991</v>
      </c>
      <c r="C724" s="1" t="s">
        <v>686</v>
      </c>
      <c r="D724" s="1" t="s">
        <v>687</v>
      </c>
      <c r="E724" s="2">
        <v>74</v>
      </c>
      <c r="F724" s="2">
        <v>68</v>
      </c>
      <c r="G724" s="3" t="s">
        <v>688</v>
      </c>
      <c r="H724" s="3" t="s">
        <v>689</v>
      </c>
      <c r="I724" s="3" t="s">
        <v>690</v>
      </c>
      <c r="J724" s="44" t="str">
        <f>HYPERLINK("https://www.centcols.org/util/geo/visuGen.php?code=FR-83-0074","FR-83-0074")</f>
        <v>FR-83-0074</v>
      </c>
      <c r="K724" s="3" t="s">
        <v>691</v>
      </c>
      <c r="L724" s="1" t="s">
        <v>5157</v>
      </c>
      <c r="M724" s="8">
        <v>0</v>
      </c>
      <c r="N724" s="8">
        <v>0</v>
      </c>
      <c r="O724" s="4"/>
      <c r="P724" s="3"/>
      <c r="Q724" s="3" t="s">
        <v>692</v>
      </c>
      <c r="R724" s="3" t="s">
        <v>693</v>
      </c>
      <c r="S724" s="25">
        <v>6.155642</v>
      </c>
      <c r="T724" s="25">
        <v>43.236253</v>
      </c>
      <c r="U724" s="2">
        <v>32</v>
      </c>
      <c r="V724" s="3">
        <v>269045</v>
      </c>
      <c r="W724" s="3">
        <v>4790980</v>
      </c>
      <c r="X724" s="25">
        <v>4.243245</v>
      </c>
      <c r="Y724" s="25">
        <v>48.040246</v>
      </c>
      <c r="Z724" s="6"/>
      <c r="AA724" s="7" t="s">
        <v>5138</v>
      </c>
      <c r="AB724" s="8">
        <v>2015</v>
      </c>
      <c r="AC724" s="9">
        <v>42297</v>
      </c>
      <c r="AD724" s="10"/>
      <c r="AE724" s="31" t="s">
        <v>694</v>
      </c>
    </row>
    <row r="725" spans="1:31" ht="12.75">
      <c r="A725" s="4" t="s">
        <v>695</v>
      </c>
      <c r="B725" s="1" t="s">
        <v>5612</v>
      </c>
      <c r="C725" s="1" t="s">
        <v>696</v>
      </c>
      <c r="D725" s="1" t="s">
        <v>697</v>
      </c>
      <c r="E725" s="2">
        <v>105</v>
      </c>
      <c r="F725" s="2">
        <v>67</v>
      </c>
      <c r="G725" s="3" t="s">
        <v>669</v>
      </c>
      <c r="H725" s="3" t="s">
        <v>698</v>
      </c>
      <c r="I725" s="3" t="s">
        <v>699</v>
      </c>
      <c r="J725" s="44" t="str">
        <f>HYPERLINK("https://www.centcols.org/util/geo/visuGen.php?code=FR-83-0105","FR-83-0105")</f>
        <v>FR-83-0105</v>
      </c>
      <c r="K725" s="3"/>
      <c r="L725" s="1"/>
      <c r="M725" s="8">
        <v>99</v>
      </c>
      <c r="N725" s="8">
        <v>20</v>
      </c>
      <c r="O725" s="4"/>
      <c r="P725" s="3"/>
      <c r="Q725" s="3" t="s">
        <v>5662</v>
      </c>
      <c r="R725" s="3" t="s">
        <v>700</v>
      </c>
      <c r="S725" s="25">
        <v>5.836737</v>
      </c>
      <c r="T725" s="25">
        <v>43.13672</v>
      </c>
      <c r="U725" s="2">
        <v>31</v>
      </c>
      <c r="V725" s="3">
        <v>730711</v>
      </c>
      <c r="W725" s="3">
        <v>4779904</v>
      </c>
      <c r="X725" s="25">
        <v>3.888914</v>
      </c>
      <c r="Y725" s="25">
        <v>47.929654</v>
      </c>
      <c r="Z725" s="6"/>
      <c r="AA725" s="7" t="s">
        <v>5138</v>
      </c>
      <c r="AB725" s="8">
        <v>2016</v>
      </c>
      <c r="AC725" s="9">
        <v>42593</v>
      </c>
      <c r="AD725" s="10"/>
      <c r="AE725" s="31" t="s">
        <v>6191</v>
      </c>
    </row>
    <row r="726" spans="1:31" ht="12.75">
      <c r="A726" s="4" t="s">
        <v>701</v>
      </c>
      <c r="B726" s="1" t="s">
        <v>6250</v>
      </c>
      <c r="C726" s="1" t="s">
        <v>3082</v>
      </c>
      <c r="D726" s="1" t="s">
        <v>702</v>
      </c>
      <c r="E726" s="2">
        <v>164</v>
      </c>
      <c r="F726" s="2">
        <v>68</v>
      </c>
      <c r="G726" s="3" t="s">
        <v>703</v>
      </c>
      <c r="H726" s="3" t="s">
        <v>704</v>
      </c>
      <c r="I726" s="3" t="s">
        <v>705</v>
      </c>
      <c r="J726" s="44" t="str">
        <f>HYPERLINK("https://www.centcols.org/util/geo/visuGen.php?code=FR-83-0135","FR-83-0135")</f>
        <v>FR-83-0135</v>
      </c>
      <c r="K726" s="3"/>
      <c r="L726" s="1"/>
      <c r="M726" s="8">
        <v>99</v>
      </c>
      <c r="N726" s="8">
        <v>20</v>
      </c>
      <c r="O726" s="4"/>
      <c r="P726" s="3"/>
      <c r="Q726" s="3" t="s">
        <v>706</v>
      </c>
      <c r="R726" s="3" t="s">
        <v>707</v>
      </c>
      <c r="S726" s="25">
        <v>6.6112102181613634</v>
      </c>
      <c r="T726" s="25">
        <v>43.18495527000417</v>
      </c>
      <c r="U726" s="2">
        <v>32</v>
      </c>
      <c r="V726" s="3">
        <v>305875</v>
      </c>
      <c r="W726" s="3">
        <v>4784124</v>
      </c>
      <c r="X726" s="25">
        <v>4.749415095420939</v>
      </c>
      <c r="Y726" s="25">
        <v>47.98324153613213</v>
      </c>
      <c r="Z726" s="6"/>
      <c r="AA726" s="7" t="s">
        <v>5176</v>
      </c>
      <c r="AB726" s="8" t="s">
        <v>5802</v>
      </c>
      <c r="AC726" s="9"/>
      <c r="AD726" s="10">
        <v>1</v>
      </c>
      <c r="AE726" s="31" t="s">
        <v>708</v>
      </c>
    </row>
    <row r="727" spans="1:31" ht="12.75">
      <c r="A727" s="18" t="s">
        <v>1126</v>
      </c>
      <c r="B727" s="46" t="s">
        <v>5262</v>
      </c>
      <c r="C727" s="46" t="s">
        <v>5797</v>
      </c>
      <c r="D727" s="46" t="s">
        <v>5797</v>
      </c>
      <c r="E727" s="47">
        <v>178</v>
      </c>
      <c r="F727" s="47">
        <v>68</v>
      </c>
      <c r="G727" s="47" t="s">
        <v>1127</v>
      </c>
      <c r="H727" s="47" t="s">
        <v>1128</v>
      </c>
      <c r="I727" s="47" t="s">
        <v>1129</v>
      </c>
      <c r="J727" s="44" t="str">
        <f>HYPERLINK("https://www.centcols.org/util/geo/visuGen.php?code=FR-83-0178","FR-83-0178")</f>
        <v>FR-83-0178</v>
      </c>
      <c r="K727" s="47" t="s">
        <v>1130</v>
      </c>
      <c r="L727" s="46" t="s">
        <v>2099</v>
      </c>
      <c r="M727" s="47">
        <v>0</v>
      </c>
      <c r="N727" s="47">
        <v>0</v>
      </c>
      <c r="O727" s="48"/>
      <c r="P727" s="48"/>
      <c r="Q727" s="47" t="s">
        <v>1131</v>
      </c>
      <c r="R727" s="47" t="s">
        <v>6979</v>
      </c>
      <c r="S727" s="115">
        <v>6.589163</v>
      </c>
      <c r="T727" s="115">
        <v>43.308604</v>
      </c>
      <c r="U727" s="47">
        <v>32</v>
      </c>
      <c r="V727" s="3">
        <v>304479</v>
      </c>
      <c r="W727" s="3">
        <v>4797908</v>
      </c>
      <c r="X727" s="115">
        <v>4.724921</v>
      </c>
      <c r="Y727" s="115">
        <v>48.120633</v>
      </c>
      <c r="Z727" s="48"/>
      <c r="AA727" s="7" t="s">
        <v>5138</v>
      </c>
      <c r="AB727" s="49">
        <v>2020</v>
      </c>
      <c r="AE727" s="103" t="s">
        <v>6674</v>
      </c>
    </row>
    <row r="728" spans="1:31" ht="12.75">
      <c r="A728" s="4" t="s">
        <v>709</v>
      </c>
      <c r="B728" s="1" t="s">
        <v>710</v>
      </c>
      <c r="C728" s="1" t="s">
        <v>711</v>
      </c>
      <c r="D728" s="1" t="s">
        <v>712</v>
      </c>
      <c r="E728" s="2">
        <v>217</v>
      </c>
      <c r="F728" s="2">
        <v>68</v>
      </c>
      <c r="G728" s="3" t="s">
        <v>713</v>
      </c>
      <c r="H728" s="3" t="s">
        <v>714</v>
      </c>
      <c r="I728" s="3" t="s">
        <v>715</v>
      </c>
      <c r="J728" s="44" t="str">
        <f>HYPERLINK("https://www.centcols.org/util/geo/visuGen.php?code=FR-83-0190","FR-83-0190")</f>
        <v>FR-83-0190</v>
      </c>
      <c r="K728" s="3"/>
      <c r="L728" s="1" t="s">
        <v>5176</v>
      </c>
      <c r="M728" s="8">
        <v>99</v>
      </c>
      <c r="N728" s="8">
        <v>15</v>
      </c>
      <c r="O728" s="4"/>
      <c r="P728" s="3"/>
      <c r="Q728" s="3" t="s">
        <v>716</v>
      </c>
      <c r="R728" s="3" t="s">
        <v>717</v>
      </c>
      <c r="S728" s="25">
        <v>6.4135654355771665</v>
      </c>
      <c r="T728" s="25">
        <v>43.44779113435698</v>
      </c>
      <c r="U728" s="2">
        <v>32</v>
      </c>
      <c r="V728" s="3">
        <v>290717</v>
      </c>
      <c r="W728" s="3">
        <v>4813793</v>
      </c>
      <c r="X728" s="25">
        <v>4.529821224705542</v>
      </c>
      <c r="Y728" s="25">
        <v>48.27529187841055</v>
      </c>
      <c r="Z728" s="6"/>
      <c r="AA728" s="7" t="s">
        <v>5176</v>
      </c>
      <c r="AB728" s="8" t="s">
        <v>718</v>
      </c>
      <c r="AC728" s="9"/>
      <c r="AD728" s="10">
        <v>1</v>
      </c>
      <c r="AE728" s="31" t="s">
        <v>719</v>
      </c>
    </row>
    <row r="729" spans="1:31" ht="12.75">
      <c r="A729" s="50" t="s">
        <v>720</v>
      </c>
      <c r="B729" s="62" t="s">
        <v>5563</v>
      </c>
      <c r="C729" s="62" t="s">
        <v>366</v>
      </c>
      <c r="D729" s="62" t="s">
        <v>721</v>
      </c>
      <c r="E729" s="24">
        <v>221</v>
      </c>
      <c r="F729" s="2">
        <v>68</v>
      </c>
      <c r="G729" s="24" t="s">
        <v>722</v>
      </c>
      <c r="H729" s="24" t="s">
        <v>723</v>
      </c>
      <c r="I729" s="24" t="s">
        <v>724</v>
      </c>
      <c r="J729" s="44" t="str">
        <f>HYPERLINK("https://www.centcols.org/util/geo/visuGen.php?code=FR-83-0221","FR-83-0221")</f>
        <v>FR-83-0221</v>
      </c>
      <c r="K729" s="24"/>
      <c r="L729" s="27" t="s">
        <v>5726</v>
      </c>
      <c r="M729" s="24">
        <v>99</v>
      </c>
      <c r="N729" s="24">
        <v>15</v>
      </c>
      <c r="O729" s="50"/>
      <c r="P729" s="24"/>
      <c r="Q729" s="24" t="s">
        <v>725</v>
      </c>
      <c r="R729" s="24" t="s">
        <v>726</v>
      </c>
      <c r="S729" s="25">
        <v>6.460052</v>
      </c>
      <c r="T729" s="25">
        <v>43.327323</v>
      </c>
      <c r="U729" s="24">
        <v>32</v>
      </c>
      <c r="V729" s="3">
        <v>294071</v>
      </c>
      <c r="W729" s="3">
        <v>4800298</v>
      </c>
      <c r="X729" s="25">
        <v>4.581469</v>
      </c>
      <c r="Y729" s="25">
        <v>48.141434</v>
      </c>
      <c r="Z729" s="61"/>
      <c r="AA729" s="54" t="s">
        <v>5138</v>
      </c>
      <c r="AB729" s="54">
        <v>2017</v>
      </c>
      <c r="AC729" s="54"/>
      <c r="AD729" s="57"/>
      <c r="AE729" s="61" t="s">
        <v>727</v>
      </c>
    </row>
    <row r="730" spans="1:31" ht="12.75">
      <c r="A730" s="4" t="s">
        <v>728</v>
      </c>
      <c r="B730" s="1" t="s">
        <v>3397</v>
      </c>
      <c r="C730" s="1" t="s">
        <v>676</v>
      </c>
      <c r="D730" s="1" t="s">
        <v>729</v>
      </c>
      <c r="E730" s="2">
        <v>284</v>
      </c>
      <c r="F730" s="2">
        <v>68</v>
      </c>
      <c r="G730" s="3" t="s">
        <v>678</v>
      </c>
      <c r="H730" s="3" t="s">
        <v>730</v>
      </c>
      <c r="I730" s="3" t="s">
        <v>731</v>
      </c>
      <c r="J730" s="44" t="str">
        <f>HYPERLINK("https://www.centcols.org/util/geo/visuGen.php?code=FR-83-0284","FR-83-0284")</f>
        <v>FR-83-0284</v>
      </c>
      <c r="K730" s="3"/>
      <c r="L730" s="1" t="s">
        <v>5257</v>
      </c>
      <c r="M730" s="8">
        <v>1</v>
      </c>
      <c r="N730" s="8">
        <v>10</v>
      </c>
      <c r="O730" s="4"/>
      <c r="P730" s="3"/>
      <c r="Q730" s="3" t="s">
        <v>732</v>
      </c>
      <c r="R730" s="3" t="s">
        <v>733</v>
      </c>
      <c r="S730" s="25">
        <v>6.165634</v>
      </c>
      <c r="T730" s="25">
        <v>43.192442</v>
      </c>
      <c r="U730" s="2">
        <v>32</v>
      </c>
      <c r="V730" s="3">
        <v>269692</v>
      </c>
      <c r="W730" s="3">
        <v>4786086</v>
      </c>
      <c r="X730" s="25">
        <v>4.254347</v>
      </c>
      <c r="Y730" s="25">
        <v>47.991564</v>
      </c>
      <c r="Z730" s="6"/>
      <c r="AA730" s="7" t="s">
        <v>5138</v>
      </c>
      <c r="AB730" s="8">
        <v>2017</v>
      </c>
      <c r="AC730" s="9"/>
      <c r="AD730" s="10"/>
      <c r="AE730" s="31" t="s">
        <v>734</v>
      </c>
    </row>
    <row r="731" spans="1:31" ht="12.75">
      <c r="A731" s="4" t="s">
        <v>735</v>
      </c>
      <c r="B731" s="1" t="s">
        <v>4810</v>
      </c>
      <c r="C731" s="1" t="s">
        <v>736</v>
      </c>
      <c r="D731" s="1" t="s">
        <v>737</v>
      </c>
      <c r="E731" s="2">
        <v>308</v>
      </c>
      <c r="F731" s="2">
        <v>68</v>
      </c>
      <c r="G731" s="3" t="s">
        <v>738</v>
      </c>
      <c r="H731" s="3" t="s">
        <v>739</v>
      </c>
      <c r="I731" s="3" t="s">
        <v>740</v>
      </c>
      <c r="J731" s="44" t="str">
        <f>HYPERLINK("https://www.centcols.org/util/geo/visuGen.php?code=FR-83-0308","FR-83-0308")</f>
        <v>FR-83-0308</v>
      </c>
      <c r="K731" s="3" t="s">
        <v>741</v>
      </c>
      <c r="L731" s="1" t="s">
        <v>742</v>
      </c>
      <c r="M731" s="8">
        <v>0</v>
      </c>
      <c r="N731" s="8">
        <v>0</v>
      </c>
      <c r="O731" s="4"/>
      <c r="P731" s="3"/>
      <c r="Q731" s="3" t="s">
        <v>743</v>
      </c>
      <c r="R731" s="3" t="s">
        <v>744</v>
      </c>
      <c r="S731" s="25">
        <v>6.810608677734457</v>
      </c>
      <c r="T731" s="25">
        <v>43.5208074272667</v>
      </c>
      <c r="U731" s="2">
        <v>32</v>
      </c>
      <c r="V731" s="3">
        <v>323059</v>
      </c>
      <c r="W731" s="3">
        <v>4820981</v>
      </c>
      <c r="X731" s="25">
        <v>4.970969105068608</v>
      </c>
      <c r="Y731" s="25">
        <v>48.356419632379094</v>
      </c>
      <c r="Z731" s="6"/>
      <c r="AA731" s="7" t="s">
        <v>5138</v>
      </c>
      <c r="AB731" s="8">
        <v>2008</v>
      </c>
      <c r="AC731" s="9"/>
      <c r="AD731" s="10">
        <v>1</v>
      </c>
      <c r="AE731" s="31" t="s">
        <v>745</v>
      </c>
    </row>
    <row r="732" spans="1:31" ht="12.75">
      <c r="A732" s="4" t="s">
        <v>746</v>
      </c>
      <c r="B732" s="1" t="s">
        <v>5534</v>
      </c>
      <c r="C732" s="1" t="s">
        <v>747</v>
      </c>
      <c r="D732" s="1" t="s">
        <v>748</v>
      </c>
      <c r="E732" s="2">
        <v>335</v>
      </c>
      <c r="F732" s="2">
        <v>68</v>
      </c>
      <c r="G732" s="3" t="s">
        <v>738</v>
      </c>
      <c r="H732" s="3" t="s">
        <v>749</v>
      </c>
      <c r="I732" s="3" t="s">
        <v>750</v>
      </c>
      <c r="J732" s="44" t="str">
        <f>HYPERLINK("https://www.centcols.org/util/geo/visuGen.php?code=FR-83-0335","FR-83-0335")</f>
        <v>FR-83-0335</v>
      </c>
      <c r="K732" s="3" t="s">
        <v>751</v>
      </c>
      <c r="L732" s="1" t="s">
        <v>752</v>
      </c>
      <c r="M732" s="8">
        <v>0</v>
      </c>
      <c r="N732" s="8">
        <v>0</v>
      </c>
      <c r="O732" s="4"/>
      <c r="P732" s="3"/>
      <c r="Q732" s="3" t="s">
        <v>753</v>
      </c>
      <c r="R732" s="3" t="s">
        <v>754</v>
      </c>
      <c r="S732" s="25">
        <v>6.788791848481767</v>
      </c>
      <c r="T732" s="25">
        <v>43.489295933795034</v>
      </c>
      <c r="U732" s="2">
        <v>32</v>
      </c>
      <c r="V732" s="3">
        <v>321202</v>
      </c>
      <c r="W732" s="3">
        <v>4817528</v>
      </c>
      <c r="X732" s="25">
        <v>4.946728439436868</v>
      </c>
      <c r="Y732" s="25">
        <v>48.32140607751149</v>
      </c>
      <c r="Z732" s="6"/>
      <c r="AA732" s="7" t="s">
        <v>5138</v>
      </c>
      <c r="AB732" s="8">
        <v>2007</v>
      </c>
      <c r="AC732" s="9"/>
      <c r="AD732" s="10">
        <v>1</v>
      </c>
      <c r="AE732" s="31" t="s">
        <v>755</v>
      </c>
    </row>
    <row r="733" spans="1:31" ht="12.75">
      <c r="A733" s="4" t="s">
        <v>756</v>
      </c>
      <c r="B733" s="1" t="s">
        <v>5612</v>
      </c>
      <c r="C733" s="1" t="s">
        <v>3082</v>
      </c>
      <c r="D733" s="1" t="s">
        <v>757</v>
      </c>
      <c r="E733" s="2">
        <v>440</v>
      </c>
      <c r="F733" s="2">
        <v>68</v>
      </c>
      <c r="G733" s="3" t="s">
        <v>758</v>
      </c>
      <c r="H733" s="3" t="s">
        <v>759</v>
      </c>
      <c r="I733" s="3" t="s">
        <v>760</v>
      </c>
      <c r="J733" s="44" t="str">
        <f>HYPERLINK("https://www.centcols.org/util/geo/visuGen.php?code=FR-83-0440","FR-83-0440")</f>
        <v>FR-83-0440</v>
      </c>
      <c r="K733" s="3"/>
      <c r="L733" s="1" t="s">
        <v>5176</v>
      </c>
      <c r="M733" s="8">
        <v>99</v>
      </c>
      <c r="N733" s="8">
        <v>15</v>
      </c>
      <c r="O733" s="4"/>
      <c r="P733" s="3"/>
      <c r="Q733" s="3" t="s">
        <v>761</v>
      </c>
      <c r="R733" s="3" t="s">
        <v>762</v>
      </c>
      <c r="S733" s="25">
        <v>6.024477955236059</v>
      </c>
      <c r="T733" s="25">
        <v>43.38392076636478</v>
      </c>
      <c r="U733" s="2">
        <v>32</v>
      </c>
      <c r="V733" s="3">
        <v>258979</v>
      </c>
      <c r="W733" s="3">
        <v>4807751</v>
      </c>
      <c r="X733" s="25">
        <v>4.0975142424245705</v>
      </c>
      <c r="Y733" s="25">
        <v>48.20432598738129</v>
      </c>
      <c r="Z733" s="6"/>
      <c r="AA733" s="7" t="s">
        <v>5138</v>
      </c>
      <c r="AB733" s="8">
        <v>2008</v>
      </c>
      <c r="AC733" s="9"/>
      <c r="AD733" s="10">
        <v>1</v>
      </c>
      <c r="AE733" s="31" t="s">
        <v>5149</v>
      </c>
    </row>
    <row r="734" spans="1:31" ht="12.75">
      <c r="A734" s="4" t="s">
        <v>763</v>
      </c>
      <c r="B734" s="1" t="s">
        <v>5731</v>
      </c>
      <c r="C734" s="1" t="s">
        <v>764</v>
      </c>
      <c r="D734" s="1" t="s">
        <v>765</v>
      </c>
      <c r="E734" s="2">
        <v>450</v>
      </c>
      <c r="F734" s="2">
        <v>67</v>
      </c>
      <c r="G734" s="3" t="s">
        <v>766</v>
      </c>
      <c r="H734" s="3" t="s">
        <v>767</v>
      </c>
      <c r="I734" s="3" t="s">
        <v>768</v>
      </c>
      <c r="J734" s="44" t="str">
        <f>HYPERLINK("https://www.centcols.org/util/geo/visuGen.php?code=FR-83-0450a","FR-83-0450a")</f>
        <v>FR-83-0450a</v>
      </c>
      <c r="K734" s="3"/>
      <c r="L734" s="1"/>
      <c r="M734" s="8">
        <v>99</v>
      </c>
      <c r="N734" s="8">
        <v>20</v>
      </c>
      <c r="O734" s="4"/>
      <c r="P734" s="3"/>
      <c r="Q734" s="3" t="s">
        <v>769</v>
      </c>
      <c r="R734" s="3" t="s">
        <v>770</v>
      </c>
      <c r="S734" s="25">
        <v>5.768362982804449</v>
      </c>
      <c r="T734" s="25">
        <v>43.45744339961934</v>
      </c>
      <c r="U734" s="2">
        <v>31</v>
      </c>
      <c r="V734" s="3">
        <v>723968</v>
      </c>
      <c r="W734" s="3">
        <v>4815338</v>
      </c>
      <c r="X734" s="25">
        <v>3.812952295577464</v>
      </c>
      <c r="Y734" s="25">
        <v>48.286022242353404</v>
      </c>
      <c r="Z734" s="6"/>
      <c r="AA734" s="7" t="s">
        <v>5138</v>
      </c>
      <c r="AB734" s="8" t="s">
        <v>5571</v>
      </c>
      <c r="AC734" s="9">
        <v>41300</v>
      </c>
      <c r="AD734" s="10">
        <v>15</v>
      </c>
      <c r="AE734" s="31" t="s">
        <v>5572</v>
      </c>
    </row>
    <row r="735" spans="1:31" ht="12.75">
      <c r="A735" s="4" t="s">
        <v>771</v>
      </c>
      <c r="B735" s="1" t="s">
        <v>5574</v>
      </c>
      <c r="C735" s="1" t="s">
        <v>772</v>
      </c>
      <c r="D735" s="1" t="s">
        <v>773</v>
      </c>
      <c r="E735" s="2">
        <v>428</v>
      </c>
      <c r="F735" s="2">
        <v>67</v>
      </c>
      <c r="G735" s="3" t="s">
        <v>4606</v>
      </c>
      <c r="H735" s="3" t="s">
        <v>774</v>
      </c>
      <c r="I735" s="3" t="s">
        <v>775</v>
      </c>
      <c r="J735" s="44" t="str">
        <f>HYPERLINK("https://www.centcols.org/util/geo/visuGen.php?code=FR-83-0460","FR-83-0460")</f>
        <v>FR-83-0460</v>
      </c>
      <c r="K735" s="3" t="s">
        <v>776</v>
      </c>
      <c r="L735" s="1" t="s">
        <v>777</v>
      </c>
      <c r="M735" s="8">
        <v>0</v>
      </c>
      <c r="N735" s="8">
        <v>0</v>
      </c>
      <c r="O735" s="4"/>
      <c r="P735" s="3"/>
      <c r="Q735" s="3" t="s">
        <v>778</v>
      </c>
      <c r="R735" s="3" t="s">
        <v>779</v>
      </c>
      <c r="S735" s="25">
        <v>5.735531560758807</v>
      </c>
      <c r="T735" s="25">
        <v>43.357177032982534</v>
      </c>
      <c r="U735" s="2">
        <v>31</v>
      </c>
      <c r="V735" s="3">
        <v>721678</v>
      </c>
      <c r="W735" s="3">
        <v>4804114</v>
      </c>
      <c r="X735" s="25">
        <v>3.7764720510983714</v>
      </c>
      <c r="Y735" s="25">
        <v>48.174612951735924</v>
      </c>
      <c r="Z735" s="6"/>
      <c r="AA735" s="7" t="s">
        <v>5176</v>
      </c>
      <c r="AB735" s="8" t="s">
        <v>5802</v>
      </c>
      <c r="AC735" s="9"/>
      <c r="AD735" s="10">
        <v>1</v>
      </c>
      <c r="AE735" s="31" t="s">
        <v>780</v>
      </c>
    </row>
    <row r="736" spans="1:31" ht="12.75">
      <c r="A736" s="4" t="s">
        <v>781</v>
      </c>
      <c r="B736" s="1" t="s">
        <v>5991</v>
      </c>
      <c r="C736" s="1" t="s">
        <v>782</v>
      </c>
      <c r="D736" s="1" t="s">
        <v>783</v>
      </c>
      <c r="E736" s="2">
        <v>535</v>
      </c>
      <c r="F736" s="2">
        <v>68</v>
      </c>
      <c r="G736" s="3" t="s">
        <v>784</v>
      </c>
      <c r="H736" s="3" t="s">
        <v>785</v>
      </c>
      <c r="I736" s="3" t="s">
        <v>786</v>
      </c>
      <c r="J736" s="44" t="str">
        <f>HYPERLINK("https://www.centcols.org/util/geo/visuGen.php?code=FR-83-0535a","FR-83-0535a")</f>
        <v>FR-83-0535a</v>
      </c>
      <c r="K736" s="3"/>
      <c r="L736" s="1"/>
      <c r="M736" s="8">
        <v>99</v>
      </c>
      <c r="N736" s="8">
        <v>20</v>
      </c>
      <c r="O736" s="4"/>
      <c r="P736" s="3"/>
      <c r="Q736" s="3" t="s">
        <v>787</v>
      </c>
      <c r="R736" s="3" t="s">
        <v>788</v>
      </c>
      <c r="S736" s="25">
        <v>5.970924</v>
      </c>
      <c r="T736" s="25">
        <v>43.227627</v>
      </c>
      <c r="U736" s="2">
        <v>31</v>
      </c>
      <c r="V736" s="3">
        <v>741266</v>
      </c>
      <c r="W736" s="3">
        <v>4790379</v>
      </c>
      <c r="X736" s="25">
        <v>4.038008</v>
      </c>
      <c r="Y736" s="25">
        <v>48.030662</v>
      </c>
      <c r="Z736" s="6"/>
      <c r="AA736" s="7" t="s">
        <v>5138</v>
      </c>
      <c r="AB736" s="8">
        <v>2015</v>
      </c>
      <c r="AC736" s="9">
        <v>42297</v>
      </c>
      <c r="AD736" s="10"/>
      <c r="AE736" s="31" t="s">
        <v>789</v>
      </c>
    </row>
    <row r="737" spans="1:31" ht="12.75">
      <c r="A737" s="4" t="s">
        <v>790</v>
      </c>
      <c r="B737" s="1" t="s">
        <v>5612</v>
      </c>
      <c r="C737" s="1" t="s">
        <v>5613</v>
      </c>
      <c r="D737" s="1" t="s">
        <v>5614</v>
      </c>
      <c r="E737" s="2">
        <v>545</v>
      </c>
      <c r="F737" s="2">
        <v>68</v>
      </c>
      <c r="G737" s="3" t="s">
        <v>722</v>
      </c>
      <c r="H737" s="3" t="s">
        <v>791</v>
      </c>
      <c r="I737" s="3" t="s">
        <v>792</v>
      </c>
      <c r="J737" s="44" t="str">
        <f>HYPERLINK("https://www.centcols.org/util/geo/visuGen.php?code=FR-83-0545a","FR-83-0545a")</f>
        <v>FR-83-0545a</v>
      </c>
      <c r="K737" s="3"/>
      <c r="L737" s="1"/>
      <c r="M737" s="8">
        <v>99</v>
      </c>
      <c r="N737" s="8">
        <v>20</v>
      </c>
      <c r="O737" s="4"/>
      <c r="P737" s="3"/>
      <c r="Q737" s="3" t="s">
        <v>793</v>
      </c>
      <c r="R737" s="3" t="s">
        <v>794</v>
      </c>
      <c r="S737" s="25">
        <v>6.392009</v>
      </c>
      <c r="T737" s="25">
        <v>43.233798</v>
      </c>
      <c r="U737" s="2">
        <v>32</v>
      </c>
      <c r="V737" s="3">
        <v>288230</v>
      </c>
      <c r="W737" s="3">
        <v>4790081</v>
      </c>
      <c r="X737" s="25">
        <v>4.505867</v>
      </c>
      <c r="Y737" s="25">
        <v>48.037515</v>
      </c>
      <c r="Z737" s="6"/>
      <c r="AA737" s="7" t="s">
        <v>5138</v>
      </c>
      <c r="AB737" s="8">
        <v>2015</v>
      </c>
      <c r="AC737" s="9">
        <v>42297</v>
      </c>
      <c r="AD737" s="10"/>
      <c r="AE737" s="31" t="s">
        <v>795</v>
      </c>
    </row>
    <row r="738" spans="1:31" ht="12.75">
      <c r="A738" s="4" t="s">
        <v>796</v>
      </c>
      <c r="B738" s="1" t="s">
        <v>5731</v>
      </c>
      <c r="C738" s="1" t="s">
        <v>797</v>
      </c>
      <c r="D738" s="1" t="s">
        <v>798</v>
      </c>
      <c r="E738" s="2">
        <v>600</v>
      </c>
      <c r="F738" s="2">
        <v>67</v>
      </c>
      <c r="G738" s="3" t="s">
        <v>784</v>
      </c>
      <c r="H738" s="3" t="s">
        <v>799</v>
      </c>
      <c r="I738" s="3" t="s">
        <v>800</v>
      </c>
      <c r="J738" s="44" t="str">
        <f>HYPERLINK("https://www.centcols.org/util/geo/visuGen.php?code=FR-83-0600a","FR-83-0600a")</f>
        <v>FR-83-0600a</v>
      </c>
      <c r="K738" s="3"/>
      <c r="L738" s="1" t="s">
        <v>5257</v>
      </c>
      <c r="M738" s="8">
        <v>1</v>
      </c>
      <c r="N738" s="8">
        <v>10</v>
      </c>
      <c r="O738" s="4"/>
      <c r="P738" s="3"/>
      <c r="Q738" s="3" t="s">
        <v>801</v>
      </c>
      <c r="R738" s="3" t="s">
        <v>802</v>
      </c>
      <c r="S738" s="25">
        <v>5.9407085310259085</v>
      </c>
      <c r="T738" s="25">
        <v>43.24286764139777</v>
      </c>
      <c r="U738" s="2">
        <v>31</v>
      </c>
      <c r="V738" s="3">
        <v>738753</v>
      </c>
      <c r="W738" s="3">
        <v>4791985</v>
      </c>
      <c r="X738" s="25">
        <v>4.004436920991309</v>
      </c>
      <c r="Y738" s="25">
        <v>48.04759724055422</v>
      </c>
      <c r="Z738" s="6"/>
      <c r="AA738" s="7" t="s">
        <v>5138</v>
      </c>
      <c r="AB738" s="8">
        <v>2008</v>
      </c>
      <c r="AC738" s="9"/>
      <c r="AD738" s="10">
        <v>1</v>
      </c>
      <c r="AE738" s="31" t="s">
        <v>803</v>
      </c>
    </row>
    <row r="739" spans="1:31" ht="22.5">
      <c r="A739" s="4" t="s">
        <v>804</v>
      </c>
      <c r="B739" s="1" t="s">
        <v>805</v>
      </c>
      <c r="C739" s="1" t="s">
        <v>806</v>
      </c>
      <c r="D739" s="1" t="s">
        <v>807</v>
      </c>
      <c r="E739" s="2">
        <v>781</v>
      </c>
      <c r="F739" s="2">
        <v>68</v>
      </c>
      <c r="G739" s="3" t="s">
        <v>808</v>
      </c>
      <c r="H739" s="3" t="s">
        <v>809</v>
      </c>
      <c r="I739" s="3" t="s">
        <v>810</v>
      </c>
      <c r="J739" s="44" t="str">
        <f>HYPERLINK("https://www.centcols.org/util/geo/visuGen.php?code=FR-83-0751","FR-83-0751")</f>
        <v>FR-83-0751</v>
      </c>
      <c r="K739" s="3" t="s">
        <v>811</v>
      </c>
      <c r="L739" s="1" t="s">
        <v>812</v>
      </c>
      <c r="M739" s="8">
        <v>0</v>
      </c>
      <c r="N739" s="8">
        <v>0</v>
      </c>
      <c r="O739" s="4"/>
      <c r="P739" s="3"/>
      <c r="Q739" s="3" t="s">
        <v>813</v>
      </c>
      <c r="R739" s="3" t="s">
        <v>814</v>
      </c>
      <c r="S739" s="25">
        <v>6.684831351506282</v>
      </c>
      <c r="T739" s="25">
        <v>43.66720312483369</v>
      </c>
      <c r="U739" s="2">
        <v>32</v>
      </c>
      <c r="V739" s="3">
        <v>313347</v>
      </c>
      <c r="W739" s="3">
        <v>4837515</v>
      </c>
      <c r="X739" s="25">
        <v>4.831222906663324</v>
      </c>
      <c r="Y739" s="25">
        <v>48.519087230757684</v>
      </c>
      <c r="Z739" s="6"/>
      <c r="AA739" s="7" t="s">
        <v>5176</v>
      </c>
      <c r="AB739" s="8" t="s">
        <v>5571</v>
      </c>
      <c r="AC739" s="9"/>
      <c r="AD739" s="10">
        <v>1</v>
      </c>
      <c r="AE739" s="31" t="s">
        <v>815</v>
      </c>
    </row>
    <row r="740" spans="1:31" ht="22.5">
      <c r="A740" s="4" t="s">
        <v>816</v>
      </c>
      <c r="B740" s="1" t="s">
        <v>817</v>
      </c>
      <c r="C740" s="1" t="s">
        <v>818</v>
      </c>
      <c r="D740" s="1" t="s">
        <v>819</v>
      </c>
      <c r="E740" s="2">
        <v>755</v>
      </c>
      <c r="F740" s="2">
        <v>68</v>
      </c>
      <c r="G740" s="3" t="s">
        <v>820</v>
      </c>
      <c r="H740" s="3" t="s">
        <v>821</v>
      </c>
      <c r="I740" s="3" t="s">
        <v>822</v>
      </c>
      <c r="J740" s="44" t="str">
        <f>HYPERLINK("https://www.centcols.org/util/geo/visuGen.php?code=FR-83-0786","FR-83-0786")</f>
        <v>FR-83-0786</v>
      </c>
      <c r="K740" s="3"/>
      <c r="L740" s="1" t="s">
        <v>823</v>
      </c>
      <c r="M740" s="8">
        <v>3</v>
      </c>
      <c r="N740" s="8">
        <v>15</v>
      </c>
      <c r="O740" s="4"/>
      <c r="P740" s="3"/>
      <c r="Q740" s="3" t="s">
        <v>824</v>
      </c>
      <c r="R740" s="3" t="s">
        <v>825</v>
      </c>
      <c r="S740" s="25">
        <v>6.415258768556116</v>
      </c>
      <c r="T740" s="25">
        <v>43.62300442260412</v>
      </c>
      <c r="U740" s="2">
        <v>32</v>
      </c>
      <c r="V740" s="3">
        <v>291460</v>
      </c>
      <c r="W740" s="3">
        <v>4833249</v>
      </c>
      <c r="X740" s="25">
        <v>4.53170597177913</v>
      </c>
      <c r="Y740" s="25">
        <v>48.469978541414804</v>
      </c>
      <c r="Z740" s="6"/>
      <c r="AA740" s="7" t="s">
        <v>5176</v>
      </c>
      <c r="AB740" s="8" t="s">
        <v>4527</v>
      </c>
      <c r="AC740" s="9"/>
      <c r="AD740" s="10">
        <v>1</v>
      </c>
      <c r="AE740" s="31" t="s">
        <v>826</v>
      </c>
    </row>
    <row r="741" spans="1:31" ht="12.75">
      <c r="A741" s="13" t="s">
        <v>827</v>
      </c>
      <c r="B741" s="1" t="s">
        <v>5128</v>
      </c>
      <c r="C741" s="1" t="s">
        <v>828</v>
      </c>
      <c r="D741" s="1" t="s">
        <v>829</v>
      </c>
      <c r="E741" s="2">
        <v>864</v>
      </c>
      <c r="F741" s="2">
        <v>67</v>
      </c>
      <c r="G741" s="3" t="s">
        <v>4606</v>
      </c>
      <c r="H741" s="3" t="s">
        <v>830</v>
      </c>
      <c r="I741" s="3" t="s">
        <v>831</v>
      </c>
      <c r="J741" s="44" t="str">
        <f>HYPERLINK("https://www.centcols.org/util/geo/visuGen.php?code=FR-83-0870a","FR-83-0870a")</f>
        <v>FR-83-0870a</v>
      </c>
      <c r="K741" s="28"/>
      <c r="L741" s="1" t="s">
        <v>832</v>
      </c>
      <c r="M741" s="2">
        <v>2</v>
      </c>
      <c r="N741" s="2">
        <v>10</v>
      </c>
      <c r="O741" s="21"/>
      <c r="P741" s="28"/>
      <c r="Q741" s="3" t="s">
        <v>833</v>
      </c>
      <c r="R741" s="3" t="s">
        <v>834</v>
      </c>
      <c r="S741" s="25">
        <v>5.686014266790525</v>
      </c>
      <c r="T741" s="25">
        <v>43.316326911361266</v>
      </c>
      <c r="U741" s="22">
        <v>31</v>
      </c>
      <c r="V741" s="3">
        <v>717811</v>
      </c>
      <c r="W741" s="3">
        <v>4799447</v>
      </c>
      <c r="X741" s="25">
        <v>3.7214538368760146</v>
      </c>
      <c r="Y741" s="25">
        <v>48.129223344115665</v>
      </c>
      <c r="Z741" s="29"/>
      <c r="AA741" s="11" t="s">
        <v>5176</v>
      </c>
      <c r="AB741" s="11">
        <v>2018</v>
      </c>
      <c r="AC741" s="30"/>
      <c r="AD741" s="30"/>
      <c r="AE741" s="4" t="s">
        <v>835</v>
      </c>
    </row>
    <row r="742" spans="1:31" ht="12.75">
      <c r="A742" s="4" t="s">
        <v>836</v>
      </c>
      <c r="B742" s="1" t="s">
        <v>6094</v>
      </c>
      <c r="C742" s="1" t="s">
        <v>837</v>
      </c>
      <c r="D742" s="1" t="s">
        <v>838</v>
      </c>
      <c r="E742" s="2">
        <v>970</v>
      </c>
      <c r="F742" s="2">
        <v>68</v>
      </c>
      <c r="G742" s="3" t="s">
        <v>839</v>
      </c>
      <c r="H742" s="3" t="s">
        <v>840</v>
      </c>
      <c r="I742" s="3" t="s">
        <v>841</v>
      </c>
      <c r="J742" s="44" t="str">
        <f>HYPERLINK("https://www.centcols.org/util/geo/visuGen.php?code=FR-83-0970a","FR-83-0970a")</f>
        <v>FR-83-0970a</v>
      </c>
      <c r="K742" s="3" t="s">
        <v>842</v>
      </c>
      <c r="L742" s="1" t="s">
        <v>5157</v>
      </c>
      <c r="M742" s="8">
        <v>0</v>
      </c>
      <c r="N742" s="8">
        <v>0</v>
      </c>
      <c r="O742" s="4"/>
      <c r="P742" s="3"/>
      <c r="Q742" s="3" t="s">
        <v>843</v>
      </c>
      <c r="R742" s="3" t="s">
        <v>844</v>
      </c>
      <c r="S742" s="25">
        <v>6.62512827580508</v>
      </c>
      <c r="T742" s="25">
        <v>43.7267288309821</v>
      </c>
      <c r="U742" s="2">
        <v>32</v>
      </c>
      <c r="V742" s="3">
        <v>308723</v>
      </c>
      <c r="W742" s="3">
        <v>4844263</v>
      </c>
      <c r="X742" s="25">
        <v>4.764889142804175</v>
      </c>
      <c r="Y742" s="25">
        <v>48.58522932695603</v>
      </c>
      <c r="Z742" s="6"/>
      <c r="AA742" s="7" t="s">
        <v>5176</v>
      </c>
      <c r="AB742" s="8" t="s">
        <v>6110</v>
      </c>
      <c r="AC742" s="9"/>
      <c r="AD742" s="10">
        <v>1</v>
      </c>
      <c r="AE742" s="31" t="s">
        <v>845</v>
      </c>
    </row>
    <row r="743" spans="1:31" ht="22.5">
      <c r="A743" s="4" t="s">
        <v>846</v>
      </c>
      <c r="B743" s="1" t="s">
        <v>847</v>
      </c>
      <c r="C743" s="1" t="s">
        <v>848</v>
      </c>
      <c r="D743" s="1" t="s">
        <v>849</v>
      </c>
      <c r="E743" s="2">
        <v>992</v>
      </c>
      <c r="F743" s="2">
        <v>68</v>
      </c>
      <c r="G743" s="3" t="s">
        <v>820</v>
      </c>
      <c r="H743" s="3" t="s">
        <v>850</v>
      </c>
      <c r="I743" s="3" t="s">
        <v>851</v>
      </c>
      <c r="J743" s="44" t="str">
        <f>HYPERLINK("https://www.centcols.org/util/geo/visuGen.php?code=FR-83-1005a","FR-83-1005a")</f>
        <v>FR-83-1005a</v>
      </c>
      <c r="K743" s="3"/>
      <c r="L743" s="1" t="s">
        <v>5176</v>
      </c>
      <c r="M743" s="8">
        <v>99</v>
      </c>
      <c r="N743" s="8">
        <v>15</v>
      </c>
      <c r="O743" s="4"/>
      <c r="P743" s="3"/>
      <c r="Q743" s="3" t="s">
        <v>852</v>
      </c>
      <c r="R743" s="3" t="s">
        <v>853</v>
      </c>
      <c r="S743" s="25">
        <v>6.466293</v>
      </c>
      <c r="T743" s="25">
        <v>43.725775</v>
      </c>
      <c r="U743" s="2">
        <v>32</v>
      </c>
      <c r="V743" s="3">
        <v>295926</v>
      </c>
      <c r="W743" s="3">
        <v>4844536</v>
      </c>
      <c r="X743" s="25">
        <v>4.588411</v>
      </c>
      <c r="Y743" s="25">
        <v>48.58417</v>
      </c>
      <c r="Z743" s="6"/>
      <c r="AA743" s="7" t="s">
        <v>5176</v>
      </c>
      <c r="AB743" s="8" t="s">
        <v>4527</v>
      </c>
      <c r="AC743" s="9"/>
      <c r="AD743" s="10">
        <v>1</v>
      </c>
      <c r="AE743" s="31" t="s">
        <v>4866</v>
      </c>
    </row>
    <row r="744" spans="1:31" ht="12.75">
      <c r="A744" s="4" t="s">
        <v>854</v>
      </c>
      <c r="B744" s="1" t="s">
        <v>6094</v>
      </c>
      <c r="C744" s="1" t="s">
        <v>855</v>
      </c>
      <c r="D744" s="1" t="s">
        <v>856</v>
      </c>
      <c r="E744" s="2">
        <v>300</v>
      </c>
      <c r="F744" s="2">
        <v>60</v>
      </c>
      <c r="G744" s="3" t="s">
        <v>5014</v>
      </c>
      <c r="H744" s="3" t="s">
        <v>857</v>
      </c>
      <c r="I744" s="3" t="s">
        <v>858</v>
      </c>
      <c r="J744" s="44" t="str">
        <f>HYPERLINK("https://www.centcols.org/util/geo/visuGen.php?code=FR-84-0282","FR-84-0282")</f>
        <v>FR-84-0282</v>
      </c>
      <c r="K744" s="3"/>
      <c r="L744" s="1" t="s">
        <v>5138</v>
      </c>
      <c r="M744" s="8">
        <v>35</v>
      </c>
      <c r="N744" s="8">
        <v>10</v>
      </c>
      <c r="O744" s="4"/>
      <c r="P744" s="3"/>
      <c r="Q744" s="3" t="s">
        <v>859</v>
      </c>
      <c r="R744" s="3" t="s">
        <v>860</v>
      </c>
      <c r="S744" s="25">
        <v>5.130457071050307</v>
      </c>
      <c r="T744" s="25">
        <v>44.20397044049527</v>
      </c>
      <c r="U744" s="2">
        <v>31</v>
      </c>
      <c r="V744" s="3">
        <v>670222</v>
      </c>
      <c r="W744" s="3">
        <v>4896735</v>
      </c>
      <c r="X744" s="25">
        <v>3.1042060360295194</v>
      </c>
      <c r="Y744" s="25">
        <v>49.11552012662148</v>
      </c>
      <c r="Z744" s="6"/>
      <c r="AA744" s="7" t="s">
        <v>5138</v>
      </c>
      <c r="AB744" s="8">
        <v>2004</v>
      </c>
      <c r="AC744" s="9"/>
      <c r="AD744" s="10">
        <v>1</v>
      </c>
      <c r="AE744" s="31" t="s">
        <v>861</v>
      </c>
    </row>
    <row r="745" spans="1:31" ht="12.75">
      <c r="A745" s="4" t="s">
        <v>862</v>
      </c>
      <c r="B745" s="1" t="s">
        <v>5741</v>
      </c>
      <c r="C745" s="1" t="s">
        <v>863</v>
      </c>
      <c r="D745" s="1" t="s">
        <v>864</v>
      </c>
      <c r="E745" s="2">
        <v>340</v>
      </c>
      <c r="F745" s="2">
        <v>60</v>
      </c>
      <c r="G745" s="3" t="s">
        <v>865</v>
      </c>
      <c r="H745" s="3" t="s">
        <v>866</v>
      </c>
      <c r="I745" s="3" t="s">
        <v>867</v>
      </c>
      <c r="J745" s="44" t="str">
        <f>HYPERLINK("https://www.centcols.org/util/geo/visuGen.php?code=FR-84-0340","FR-84-0340")</f>
        <v>FR-84-0340</v>
      </c>
      <c r="K745" s="3"/>
      <c r="L745" s="1"/>
      <c r="M745" s="8">
        <v>99</v>
      </c>
      <c r="N745" s="8">
        <v>20</v>
      </c>
      <c r="O745" s="4"/>
      <c r="P745" s="3"/>
      <c r="Q745" s="3" t="s">
        <v>868</v>
      </c>
      <c r="R745" s="3" t="s">
        <v>869</v>
      </c>
      <c r="S745" s="25">
        <v>5.137247</v>
      </c>
      <c r="T745" s="25">
        <v>43.91548</v>
      </c>
      <c r="U745" s="2">
        <v>31</v>
      </c>
      <c r="V745" s="3">
        <v>671597</v>
      </c>
      <c r="W745" s="3">
        <v>4864706</v>
      </c>
      <c r="X745" s="25">
        <v>3.1117446</v>
      </c>
      <c r="Y745" s="25">
        <v>48.79497</v>
      </c>
      <c r="Z745" s="6"/>
      <c r="AA745" s="7" t="s">
        <v>5138</v>
      </c>
      <c r="AB745" s="8">
        <v>2016</v>
      </c>
      <c r="AC745" s="9">
        <v>42593</v>
      </c>
      <c r="AD745" s="10"/>
      <c r="AE745" s="31" t="s">
        <v>870</v>
      </c>
    </row>
    <row r="746" spans="1:31" ht="22.5">
      <c r="A746" s="4" t="s">
        <v>871</v>
      </c>
      <c r="B746" s="1" t="s">
        <v>872</v>
      </c>
      <c r="C746" s="1" t="s">
        <v>873</v>
      </c>
      <c r="D746" s="1" t="s">
        <v>874</v>
      </c>
      <c r="E746" s="2">
        <v>405</v>
      </c>
      <c r="F746" s="2">
        <v>60</v>
      </c>
      <c r="G746" s="3" t="s">
        <v>875</v>
      </c>
      <c r="H746" s="3" t="s">
        <v>876</v>
      </c>
      <c r="I746" s="3" t="s">
        <v>877</v>
      </c>
      <c r="J746" s="44" t="str">
        <f>HYPERLINK("https://www.centcols.org/util/geo/visuGen.php?code=FR-84-0373","FR-84-0373")</f>
        <v>FR-84-0373</v>
      </c>
      <c r="K746" s="3"/>
      <c r="L746" s="1" t="s">
        <v>5726</v>
      </c>
      <c r="M746" s="8">
        <v>99</v>
      </c>
      <c r="N746" s="8">
        <v>15</v>
      </c>
      <c r="O746" s="4"/>
      <c r="P746" s="3"/>
      <c r="Q746" s="3" t="s">
        <v>878</v>
      </c>
      <c r="R746" s="3" t="s">
        <v>879</v>
      </c>
      <c r="S746" s="25">
        <v>5.187909454566299</v>
      </c>
      <c r="T746" s="25">
        <v>44.03447761019538</v>
      </c>
      <c r="U746" s="2">
        <v>31</v>
      </c>
      <c r="V746" s="3">
        <v>675314</v>
      </c>
      <c r="W746" s="3">
        <v>4878029</v>
      </c>
      <c r="X746" s="25">
        <v>3.1680354130078467</v>
      </c>
      <c r="Y746" s="25">
        <v>48.92719208796933</v>
      </c>
      <c r="Z746" s="6"/>
      <c r="AA746" s="7" t="s">
        <v>5176</v>
      </c>
      <c r="AB746" s="8" t="s">
        <v>5911</v>
      </c>
      <c r="AC746" s="9"/>
      <c r="AD746" s="10">
        <v>1</v>
      </c>
      <c r="AE746" s="31" t="s">
        <v>880</v>
      </c>
    </row>
    <row r="747" spans="1:31" ht="12.75">
      <c r="A747" s="4" t="s">
        <v>881</v>
      </c>
      <c r="B747" s="1" t="s">
        <v>6076</v>
      </c>
      <c r="C747" s="1" t="s">
        <v>357</v>
      </c>
      <c r="D747" s="1" t="s">
        <v>358</v>
      </c>
      <c r="E747" s="2">
        <v>395</v>
      </c>
      <c r="F747" s="2">
        <v>60</v>
      </c>
      <c r="G747" s="3" t="s">
        <v>5014</v>
      </c>
      <c r="H747" s="3" t="s">
        <v>882</v>
      </c>
      <c r="I747" s="3" t="s">
        <v>883</v>
      </c>
      <c r="J747" s="44" t="str">
        <f>HYPERLINK("https://www.centcols.org/util/geo/visuGen.php?code=FR-84-0395","FR-84-0395")</f>
        <v>FR-84-0395</v>
      </c>
      <c r="K747" s="3"/>
      <c r="L747" s="1"/>
      <c r="M747" s="8">
        <v>99</v>
      </c>
      <c r="N747" s="8">
        <v>20</v>
      </c>
      <c r="O747" s="4"/>
      <c r="P747" s="3"/>
      <c r="Q747" s="3" t="s">
        <v>884</v>
      </c>
      <c r="R747" s="3" t="s">
        <v>885</v>
      </c>
      <c r="S747" s="25">
        <v>5.155332</v>
      </c>
      <c r="T747" s="25">
        <v>44.214565</v>
      </c>
      <c r="U747" s="2">
        <v>31</v>
      </c>
      <c r="V747" s="3">
        <v>672179</v>
      </c>
      <c r="W747" s="3">
        <v>4897963</v>
      </c>
      <c r="X747" s="25">
        <v>3.131844</v>
      </c>
      <c r="Y747" s="25">
        <v>49.127292</v>
      </c>
      <c r="Z747" s="6"/>
      <c r="AA747" s="7" t="s">
        <v>5138</v>
      </c>
      <c r="AB747" s="8">
        <v>2016</v>
      </c>
      <c r="AC747" s="9"/>
      <c r="AD747" s="10"/>
      <c r="AE747" s="31" t="s">
        <v>886</v>
      </c>
    </row>
    <row r="748" spans="1:31" ht="12.75">
      <c r="A748" s="4" t="s">
        <v>887</v>
      </c>
      <c r="B748" s="1" t="s">
        <v>888</v>
      </c>
      <c r="C748" s="1" t="s">
        <v>889</v>
      </c>
      <c r="D748" s="1" t="s">
        <v>890</v>
      </c>
      <c r="E748" s="2">
        <v>440</v>
      </c>
      <c r="F748" s="2">
        <v>60</v>
      </c>
      <c r="G748" s="3" t="s">
        <v>865</v>
      </c>
      <c r="H748" s="3" t="s">
        <v>891</v>
      </c>
      <c r="I748" s="3" t="s">
        <v>892</v>
      </c>
      <c r="J748" s="44" t="str">
        <f>HYPERLINK("https://www.centcols.org/util/geo/visuGen.php?code=FR-84-0440","FR-84-0440")</f>
        <v>FR-84-0440</v>
      </c>
      <c r="K748" s="3"/>
      <c r="L748" s="1" t="s">
        <v>5138</v>
      </c>
      <c r="M748" s="8">
        <v>35</v>
      </c>
      <c r="N748" s="8">
        <v>10</v>
      </c>
      <c r="O748" s="4"/>
      <c r="P748" s="3"/>
      <c r="Q748" s="3" t="s">
        <v>893</v>
      </c>
      <c r="R748" s="3" t="s">
        <v>894</v>
      </c>
      <c r="S748" s="25">
        <v>5.155832</v>
      </c>
      <c r="T748" s="25">
        <v>43.919734</v>
      </c>
      <c r="U748" s="2">
        <v>31</v>
      </c>
      <c r="V748" s="3">
        <v>673076</v>
      </c>
      <c r="W748" s="3">
        <v>4865217</v>
      </c>
      <c r="X748" s="25">
        <v>3.132393</v>
      </c>
      <c r="Y748" s="25">
        <v>48.799696</v>
      </c>
      <c r="Z748" s="6"/>
      <c r="AA748" s="7" t="s">
        <v>5138</v>
      </c>
      <c r="AB748" s="8">
        <v>2016</v>
      </c>
      <c r="AC748" s="9">
        <v>42593</v>
      </c>
      <c r="AD748" s="10"/>
      <c r="AE748" s="31" t="s">
        <v>895</v>
      </c>
    </row>
    <row r="749" spans="1:31" ht="12.75">
      <c r="A749" s="4" t="s">
        <v>896</v>
      </c>
      <c r="B749" s="1" t="s">
        <v>897</v>
      </c>
      <c r="C749" s="1" t="s">
        <v>898</v>
      </c>
      <c r="D749" s="1" t="s">
        <v>899</v>
      </c>
      <c r="E749" s="2">
        <v>592</v>
      </c>
      <c r="F749" s="2">
        <v>67</v>
      </c>
      <c r="G749" s="3" t="s">
        <v>900</v>
      </c>
      <c r="H749" s="3" t="s">
        <v>901</v>
      </c>
      <c r="I749" s="3" t="s">
        <v>902</v>
      </c>
      <c r="J749" s="44" t="str">
        <f>HYPERLINK("https://www.centcols.org/util/geo/visuGen.php?code=FR-84-0592","FR-84-0592")</f>
        <v>FR-84-0592</v>
      </c>
      <c r="K749" s="3"/>
      <c r="L749" s="1" t="s">
        <v>5176</v>
      </c>
      <c r="M749" s="8">
        <v>99</v>
      </c>
      <c r="N749" s="8">
        <v>15</v>
      </c>
      <c r="O749" s="4"/>
      <c r="P749" s="3"/>
      <c r="Q749" s="3" t="s">
        <v>903</v>
      </c>
      <c r="R749" s="3" t="s">
        <v>904</v>
      </c>
      <c r="S749" s="25">
        <v>5.51753353102591</v>
      </c>
      <c r="T749" s="25">
        <v>43.80346379783409</v>
      </c>
      <c r="U749" s="2">
        <v>31</v>
      </c>
      <c r="V749" s="3">
        <v>702509</v>
      </c>
      <c r="W749" s="3">
        <v>4853125</v>
      </c>
      <c r="X749" s="25">
        <v>3.534268955891814</v>
      </c>
      <c r="Y749" s="25">
        <v>48.67049920199507</v>
      </c>
      <c r="Z749" s="6"/>
      <c r="AA749" s="7" t="s">
        <v>5176</v>
      </c>
      <c r="AB749" s="8" t="s">
        <v>6740</v>
      </c>
      <c r="AC749" s="9"/>
      <c r="AD749" s="10">
        <v>1</v>
      </c>
      <c r="AE749" s="31" t="s">
        <v>905</v>
      </c>
    </row>
    <row r="750" spans="1:31" ht="12.75">
      <c r="A750" s="4" t="s">
        <v>906</v>
      </c>
      <c r="B750" s="1" t="s">
        <v>6094</v>
      </c>
      <c r="C750" s="1" t="s">
        <v>907</v>
      </c>
      <c r="D750" s="1" t="s">
        <v>908</v>
      </c>
      <c r="E750" s="2">
        <v>604</v>
      </c>
      <c r="F750" s="2">
        <v>60</v>
      </c>
      <c r="G750" s="3" t="s">
        <v>909</v>
      </c>
      <c r="H750" s="3" t="s">
        <v>910</v>
      </c>
      <c r="I750" s="3" t="s">
        <v>911</v>
      </c>
      <c r="J750" s="44" t="str">
        <f>HYPERLINK("https://www.centcols.org/util/geo/visuGen.php?code=FR-84-0610","FR-84-0610")</f>
        <v>FR-84-0610</v>
      </c>
      <c r="K750" s="3" t="s">
        <v>912</v>
      </c>
      <c r="L750" s="1" t="s">
        <v>913</v>
      </c>
      <c r="M750" s="8">
        <v>0</v>
      </c>
      <c r="N750" s="8">
        <v>0</v>
      </c>
      <c r="O750" s="4"/>
      <c r="P750" s="3"/>
      <c r="Q750" s="3" t="s">
        <v>914</v>
      </c>
      <c r="R750" s="3" t="s">
        <v>915</v>
      </c>
      <c r="S750" s="25">
        <v>5.5524358777343465</v>
      </c>
      <c r="T750" s="25">
        <v>43.92400627076027</v>
      </c>
      <c r="U750" s="2">
        <v>31</v>
      </c>
      <c r="V750" s="3">
        <v>704903</v>
      </c>
      <c r="W750" s="3">
        <v>4866600</v>
      </c>
      <c r="X750" s="25">
        <v>3.573050809714152</v>
      </c>
      <c r="Y750" s="25">
        <v>48.804437979376694</v>
      </c>
      <c r="Z750" s="6"/>
      <c r="AA750" s="7" t="s">
        <v>5138</v>
      </c>
      <c r="AB750" s="8">
        <v>2008</v>
      </c>
      <c r="AC750" s="9"/>
      <c r="AD750" s="10">
        <v>1</v>
      </c>
      <c r="AE750" s="31" t="s">
        <v>916</v>
      </c>
    </row>
    <row r="751" spans="1:31" ht="12.75">
      <c r="A751" s="18" t="s">
        <v>917</v>
      </c>
      <c r="B751" s="62" t="s">
        <v>3711</v>
      </c>
      <c r="C751" s="62" t="s">
        <v>918</v>
      </c>
      <c r="D751" s="62" t="s">
        <v>919</v>
      </c>
      <c r="E751" s="24">
        <v>715</v>
      </c>
      <c r="F751" s="24">
        <v>60</v>
      </c>
      <c r="G751" s="24" t="s">
        <v>920</v>
      </c>
      <c r="H751" s="24" t="s">
        <v>921</v>
      </c>
      <c r="I751" s="24" t="s">
        <v>922</v>
      </c>
      <c r="J751" s="44" t="str">
        <f>HYPERLINK("https://www.centcols.org/util/geo/visuGen.php?code=FR-84-0715","FR-84-0715")</f>
        <v>FR-84-0715</v>
      </c>
      <c r="K751" s="19"/>
      <c r="L751" s="62" t="s">
        <v>5257</v>
      </c>
      <c r="M751" s="24">
        <v>1</v>
      </c>
      <c r="N751" s="24">
        <v>10</v>
      </c>
      <c r="O751" s="18"/>
      <c r="P751" s="19"/>
      <c r="Q751" s="24" t="s">
        <v>923</v>
      </c>
      <c r="R751" s="24" t="s">
        <v>6933</v>
      </c>
      <c r="S751" s="25">
        <v>5.363396</v>
      </c>
      <c r="T751" s="25">
        <v>43.970246</v>
      </c>
      <c r="U751" s="24">
        <v>31</v>
      </c>
      <c r="V751" s="3">
        <v>689580</v>
      </c>
      <c r="W751" s="3">
        <v>4871284</v>
      </c>
      <c r="X751" s="25">
        <v>3.363011</v>
      </c>
      <c r="Y751" s="25">
        <v>48.85582</v>
      </c>
      <c r="Z751" s="18"/>
      <c r="AA751" s="19" t="s">
        <v>5176</v>
      </c>
      <c r="AB751" s="11">
        <v>2019</v>
      </c>
      <c r="AC751" s="60">
        <v>43525</v>
      </c>
      <c r="AD751" s="54"/>
      <c r="AE751" s="61" t="s">
        <v>924</v>
      </c>
    </row>
    <row r="752" spans="1:31" ht="12.75">
      <c r="A752" s="4" t="s">
        <v>925</v>
      </c>
      <c r="B752" s="1" t="s">
        <v>926</v>
      </c>
      <c r="C752" s="1" t="s">
        <v>927</v>
      </c>
      <c r="D752" s="1" t="s">
        <v>928</v>
      </c>
      <c r="E752" s="2">
        <v>878</v>
      </c>
      <c r="F752" s="2">
        <v>67</v>
      </c>
      <c r="G752" s="3" t="s">
        <v>900</v>
      </c>
      <c r="H752" s="3" t="s">
        <v>929</v>
      </c>
      <c r="I752" s="3" t="s">
        <v>930</v>
      </c>
      <c r="J752" s="44" t="str">
        <f>HYPERLINK("https://www.centcols.org/util/geo/visuGen.php?code=FR-84-0878","FR-84-0878")</f>
        <v>FR-84-0878</v>
      </c>
      <c r="K752" s="3"/>
      <c r="L752" s="1" t="s">
        <v>931</v>
      </c>
      <c r="M752" s="8">
        <v>40</v>
      </c>
      <c r="N752" s="36">
        <v>15</v>
      </c>
      <c r="O752" s="4"/>
      <c r="P752" s="3"/>
      <c r="Q752" s="3" t="s">
        <v>932</v>
      </c>
      <c r="R752" s="3" t="s">
        <v>933</v>
      </c>
      <c r="S752" s="25">
        <v>5.400425</v>
      </c>
      <c r="T752" s="25">
        <v>43.805713</v>
      </c>
      <c r="U752" s="2">
        <v>31</v>
      </c>
      <c r="V752" s="3">
        <v>693081</v>
      </c>
      <c r="W752" s="3">
        <v>4853095</v>
      </c>
      <c r="X752" s="25">
        <v>3.404152</v>
      </c>
      <c r="Y752" s="25">
        <v>48.673</v>
      </c>
      <c r="Z752" s="6"/>
      <c r="AA752" s="7" t="s">
        <v>5176</v>
      </c>
      <c r="AB752" s="8">
        <v>2017</v>
      </c>
      <c r="AC752" s="9"/>
      <c r="AD752" s="10"/>
      <c r="AE752" s="31" t="s">
        <v>934</v>
      </c>
    </row>
    <row r="753" spans="1:31" s="53" customFormat="1" ht="12.75">
      <c r="A753" s="4" t="s">
        <v>935</v>
      </c>
      <c r="B753" s="1" t="s">
        <v>5991</v>
      </c>
      <c r="C753" s="1" t="s">
        <v>936</v>
      </c>
      <c r="D753" s="1" t="s">
        <v>937</v>
      </c>
      <c r="E753" s="2">
        <v>1010</v>
      </c>
      <c r="F753" s="2">
        <v>60</v>
      </c>
      <c r="G753" s="3" t="s">
        <v>938</v>
      </c>
      <c r="H753" s="3" t="s">
        <v>939</v>
      </c>
      <c r="I753" s="3" t="s">
        <v>940</v>
      </c>
      <c r="J753" s="44" t="str">
        <f>HYPERLINK("https://www.centcols.org/util/geo/visuGen.php?code=FR-84-1010","FR-84-1010")</f>
        <v>FR-84-1010</v>
      </c>
      <c r="K753" s="3" t="s">
        <v>941</v>
      </c>
      <c r="L753" s="1" t="s">
        <v>942</v>
      </c>
      <c r="M753" s="8">
        <v>0</v>
      </c>
      <c r="N753" s="8">
        <v>0</v>
      </c>
      <c r="O753" s="4"/>
      <c r="P753" s="3"/>
      <c r="Q753" s="3" t="s">
        <v>943</v>
      </c>
      <c r="R753" s="3" t="s">
        <v>944</v>
      </c>
      <c r="S753" s="25">
        <v>5.374126080859226</v>
      </c>
      <c r="T753" s="25">
        <v>44.13538897866181</v>
      </c>
      <c r="U753" s="2">
        <v>31</v>
      </c>
      <c r="V753" s="3">
        <v>689912</v>
      </c>
      <c r="W753" s="3">
        <v>4889651</v>
      </c>
      <c r="X753" s="25">
        <v>3.374937265094921</v>
      </c>
      <c r="Y753" s="25">
        <v>49.03931551126116</v>
      </c>
      <c r="Z753" s="6"/>
      <c r="AA753" s="7" t="s">
        <v>5138</v>
      </c>
      <c r="AB753" s="8">
        <v>2002</v>
      </c>
      <c r="AC753" s="9"/>
      <c r="AD753" s="10">
        <v>1</v>
      </c>
      <c r="AE753" s="31" t="s">
        <v>945</v>
      </c>
    </row>
    <row r="754" spans="1:31" s="53" customFormat="1" ht="12.75">
      <c r="A754" s="18" t="s">
        <v>946</v>
      </c>
      <c r="B754" s="62" t="s">
        <v>5262</v>
      </c>
      <c r="C754" s="62" t="s">
        <v>947</v>
      </c>
      <c r="D754" s="62" t="s">
        <v>947</v>
      </c>
      <c r="E754" s="24">
        <v>354</v>
      </c>
      <c r="F754" s="24">
        <v>41</v>
      </c>
      <c r="G754" s="24" t="s">
        <v>948</v>
      </c>
      <c r="H754" s="24" t="s">
        <v>949</v>
      </c>
      <c r="I754" s="24" t="s">
        <v>950</v>
      </c>
      <c r="J754" s="44" t="str">
        <f>HYPERLINK("https://www.centcols.org/util/geo/visuGen.php?code=FR-87-0354","FR-87-0354")</f>
        <v>FR-87-0354</v>
      </c>
      <c r="K754" s="24" t="s">
        <v>951</v>
      </c>
      <c r="L754" s="62" t="s">
        <v>952</v>
      </c>
      <c r="M754" s="24">
        <v>0</v>
      </c>
      <c r="N754" s="24">
        <v>0</v>
      </c>
      <c r="O754" s="18"/>
      <c r="P754" s="19"/>
      <c r="Q754" s="24" t="s">
        <v>953</v>
      </c>
      <c r="R754" s="24" t="s">
        <v>6993</v>
      </c>
      <c r="S754" s="25">
        <v>1.427615</v>
      </c>
      <c r="T754" s="25">
        <v>45.932686</v>
      </c>
      <c r="U754" s="24">
        <v>31</v>
      </c>
      <c r="V754" s="3">
        <v>378099</v>
      </c>
      <c r="W754" s="3">
        <v>5087771</v>
      </c>
      <c r="X754" s="25">
        <v>-1.009872</v>
      </c>
      <c r="Y754" s="25">
        <v>51.036376</v>
      </c>
      <c r="Z754" s="18"/>
      <c r="AA754" s="19" t="s">
        <v>5138</v>
      </c>
      <c r="AB754" s="11">
        <v>2019</v>
      </c>
      <c r="AC754" s="60">
        <v>43525</v>
      </c>
      <c r="AD754" s="54"/>
      <c r="AE754" s="61" t="s">
        <v>954</v>
      </c>
    </row>
    <row r="755" spans="1:31" s="53" customFormat="1" ht="12.75">
      <c r="A755" s="4" t="s">
        <v>955</v>
      </c>
      <c r="B755" s="1" t="s">
        <v>5128</v>
      </c>
      <c r="C755" s="1" t="s">
        <v>956</v>
      </c>
      <c r="D755" s="1" t="s">
        <v>957</v>
      </c>
      <c r="E755" s="2">
        <v>539</v>
      </c>
      <c r="F755" s="2">
        <v>41</v>
      </c>
      <c r="G755" s="3" t="s">
        <v>948</v>
      </c>
      <c r="H755" s="3" t="s">
        <v>958</v>
      </c>
      <c r="I755" s="3" t="s">
        <v>959</v>
      </c>
      <c r="J755" s="44" t="str">
        <f>HYPERLINK("https://www.centcols.org/util/geo/visuGen.php?code=FR-87-0539","FR-87-0539")</f>
        <v>FR-87-0539</v>
      </c>
      <c r="K755" s="3" t="s">
        <v>960</v>
      </c>
      <c r="L755" s="1" t="s">
        <v>961</v>
      </c>
      <c r="M755" s="8">
        <v>0</v>
      </c>
      <c r="N755" s="8">
        <v>0</v>
      </c>
      <c r="O755" s="4"/>
      <c r="P755" s="3"/>
      <c r="Q755" s="3" t="s">
        <v>962</v>
      </c>
      <c r="R755" s="3" t="s">
        <v>963</v>
      </c>
      <c r="S755" s="25">
        <v>1.296842656946407</v>
      </c>
      <c r="T755" s="25">
        <v>45.975190721851774</v>
      </c>
      <c r="U755" s="2">
        <v>31</v>
      </c>
      <c r="V755" s="3">
        <v>368062</v>
      </c>
      <c r="W755" s="3">
        <v>5092701</v>
      </c>
      <c r="X755" s="25">
        <v>-1.1551672765524903</v>
      </c>
      <c r="Y755" s="25">
        <v>51.083604704437185</v>
      </c>
      <c r="Z755" s="6"/>
      <c r="AA755" s="7" t="s">
        <v>5138</v>
      </c>
      <c r="AB755" s="8">
        <v>2007</v>
      </c>
      <c r="AC755" s="9"/>
      <c r="AD755" s="10">
        <v>1</v>
      </c>
      <c r="AE755" s="31" t="s">
        <v>252</v>
      </c>
    </row>
    <row r="756" spans="1:31" s="53" customFormat="1" ht="12.75">
      <c r="A756" s="4" t="s">
        <v>964</v>
      </c>
      <c r="B756" s="1" t="s">
        <v>965</v>
      </c>
      <c r="C756" s="1" t="s">
        <v>966</v>
      </c>
      <c r="D756" s="1" t="s">
        <v>967</v>
      </c>
      <c r="E756" s="2">
        <v>482</v>
      </c>
      <c r="F756" s="2">
        <v>30</v>
      </c>
      <c r="G756" s="3" t="s">
        <v>968</v>
      </c>
      <c r="H756" s="3" t="s">
        <v>969</v>
      </c>
      <c r="I756" s="3" t="s">
        <v>970</v>
      </c>
      <c r="J756" s="44" t="str">
        <f>HYPERLINK("https://www.centcols.org/util/geo/visuGen.php?code=FR-88-0482","FR-88-0482")</f>
        <v>FR-88-0482</v>
      </c>
      <c r="K756" s="3"/>
      <c r="L756" s="1" t="s">
        <v>5138</v>
      </c>
      <c r="M756" s="8">
        <v>35</v>
      </c>
      <c r="N756" s="8">
        <v>10</v>
      </c>
      <c r="O756" s="4"/>
      <c r="P756" s="3"/>
      <c r="Q756" s="3" t="s">
        <v>971</v>
      </c>
      <c r="R756" s="3" t="s">
        <v>972</v>
      </c>
      <c r="S756" s="25">
        <v>6.159585</v>
      </c>
      <c r="T756" s="25">
        <v>48.021583</v>
      </c>
      <c r="U756" s="2">
        <v>32</v>
      </c>
      <c r="V756" s="3">
        <v>288215</v>
      </c>
      <c r="W756" s="3">
        <v>5322603</v>
      </c>
      <c r="X756" s="25">
        <v>4.247688</v>
      </c>
      <c r="Y756" s="25">
        <v>53.357381</v>
      </c>
      <c r="Z756" s="6"/>
      <c r="AA756" s="7" t="s">
        <v>5138</v>
      </c>
      <c r="AB756" s="8">
        <v>2015</v>
      </c>
      <c r="AC756" s="9">
        <v>42297</v>
      </c>
      <c r="AD756" s="10"/>
      <c r="AE756" s="31" t="s">
        <v>973</v>
      </c>
    </row>
    <row r="757" spans="1:31" s="53" customFormat="1" ht="12.75">
      <c r="A757" s="4" t="s">
        <v>974</v>
      </c>
      <c r="B757" s="1" t="s">
        <v>975</v>
      </c>
      <c r="C757" s="1" t="s">
        <v>976</v>
      </c>
      <c r="D757" s="1" t="s">
        <v>977</v>
      </c>
      <c r="E757" s="2">
        <v>531</v>
      </c>
      <c r="F757" s="2">
        <v>30</v>
      </c>
      <c r="G757" s="3" t="s">
        <v>978</v>
      </c>
      <c r="H757" s="3" t="s">
        <v>979</v>
      </c>
      <c r="I757" s="3" t="s">
        <v>980</v>
      </c>
      <c r="J757" s="44" t="str">
        <f>HYPERLINK("https://www.centcols.org/util/geo/visuGen.php?code=FR-88-0531","FR-88-0531")</f>
        <v>FR-88-0531</v>
      </c>
      <c r="K757" s="3" t="s">
        <v>981</v>
      </c>
      <c r="L757" s="1" t="s">
        <v>982</v>
      </c>
      <c r="M757" s="8">
        <v>0</v>
      </c>
      <c r="N757" s="8">
        <v>0</v>
      </c>
      <c r="O757" s="4"/>
      <c r="P757" s="3"/>
      <c r="Q757" s="3" t="s">
        <v>983</v>
      </c>
      <c r="R757" s="3" t="s">
        <v>984</v>
      </c>
      <c r="S757" s="25">
        <v>6.476203</v>
      </c>
      <c r="T757" s="25">
        <v>48.042052</v>
      </c>
      <c r="U757" s="2">
        <v>32</v>
      </c>
      <c r="V757" s="3">
        <v>311895</v>
      </c>
      <c r="W757" s="3">
        <v>5324056</v>
      </c>
      <c r="X757" s="25">
        <v>4.599475</v>
      </c>
      <c r="Y757" s="25">
        <v>53.380124</v>
      </c>
      <c r="Z757" s="6"/>
      <c r="AA757" s="7" t="s">
        <v>5138</v>
      </c>
      <c r="AB757" s="8">
        <v>2017</v>
      </c>
      <c r="AC757" s="9"/>
      <c r="AD757" s="10"/>
      <c r="AE757" s="31" t="s">
        <v>985</v>
      </c>
    </row>
    <row r="758" spans="1:31" s="53" customFormat="1" ht="12.75">
      <c r="A758" s="4" t="s">
        <v>986</v>
      </c>
      <c r="B758" s="1" t="s">
        <v>5589</v>
      </c>
      <c r="C758" s="1" t="s">
        <v>987</v>
      </c>
      <c r="D758" s="1" t="s">
        <v>988</v>
      </c>
      <c r="E758" s="2">
        <v>740</v>
      </c>
      <c r="F758" s="2">
        <v>31</v>
      </c>
      <c r="G758" s="3" t="s">
        <v>989</v>
      </c>
      <c r="H758" s="3" t="s">
        <v>990</v>
      </c>
      <c r="I758" s="3" t="s">
        <v>991</v>
      </c>
      <c r="J758" s="44" t="str">
        <f>HYPERLINK("https://www.centcols.org/util/geo/visuGen.php?code=FR-88-0740","FR-88-0740")</f>
        <v>FR-88-0740</v>
      </c>
      <c r="K758" s="3" t="s">
        <v>992</v>
      </c>
      <c r="L758" s="1" t="s">
        <v>993</v>
      </c>
      <c r="M758" s="8">
        <v>0</v>
      </c>
      <c r="N758" s="8">
        <v>0</v>
      </c>
      <c r="O758" s="4"/>
      <c r="P758" s="3"/>
      <c r="Q758" s="3" t="s">
        <v>994</v>
      </c>
      <c r="R758" s="3" t="s">
        <v>995</v>
      </c>
      <c r="S758" s="25">
        <v>6.773013</v>
      </c>
      <c r="T758" s="25">
        <v>48.110473</v>
      </c>
      <c r="U758" s="2">
        <v>32</v>
      </c>
      <c r="V758" s="3">
        <v>334236</v>
      </c>
      <c r="W758" s="3">
        <v>5330978</v>
      </c>
      <c r="X758" s="25">
        <v>4.929255</v>
      </c>
      <c r="Y758" s="25">
        <v>53.456147</v>
      </c>
      <c r="Z758" s="6"/>
      <c r="AA758" s="7" t="s">
        <v>5138</v>
      </c>
      <c r="AB758" s="8">
        <v>2016</v>
      </c>
      <c r="AC758" s="9">
        <v>42593</v>
      </c>
      <c r="AD758" s="10"/>
      <c r="AE758" s="31" t="s">
        <v>996</v>
      </c>
    </row>
    <row r="759" spans="1:31" ht="12.75">
      <c r="A759" s="18" t="s">
        <v>1132</v>
      </c>
      <c r="B759" s="46" t="s">
        <v>5923</v>
      </c>
      <c r="C759" s="46" t="s">
        <v>1133</v>
      </c>
      <c r="D759" s="46" t="s">
        <v>1134</v>
      </c>
      <c r="E759" s="47">
        <v>735</v>
      </c>
      <c r="F759" s="47">
        <v>31</v>
      </c>
      <c r="G759" s="47" t="s">
        <v>989</v>
      </c>
      <c r="H759" s="47" t="s">
        <v>1135</v>
      </c>
      <c r="I759" s="47" t="s">
        <v>1136</v>
      </c>
      <c r="J759" s="44" t="str">
        <f>HYPERLINK("https://www.centcols.org/util/geo/visuGen.php?code=FR-88-0772","FR-88-0772")</f>
        <v>FR-88-0772</v>
      </c>
      <c r="K759" s="47" t="s">
        <v>1137</v>
      </c>
      <c r="L759" s="46" t="s">
        <v>3819</v>
      </c>
      <c r="M759" s="47">
        <v>0</v>
      </c>
      <c r="N759" s="47">
        <v>0</v>
      </c>
      <c r="O759" s="48"/>
      <c r="P759" s="48"/>
      <c r="Q759" s="47" t="s">
        <v>1138</v>
      </c>
      <c r="R759" s="47" t="s">
        <v>6932</v>
      </c>
      <c r="S759" s="115">
        <v>6.799986</v>
      </c>
      <c r="T759" s="115">
        <v>48.103572</v>
      </c>
      <c r="U759" s="41">
        <v>32</v>
      </c>
      <c r="V759" s="3">
        <v>336222</v>
      </c>
      <c r="W759" s="3">
        <v>5330153</v>
      </c>
      <c r="X759" s="40">
        <v>4.959223923129624</v>
      </c>
      <c r="Y759" s="40">
        <v>53.4484792742815</v>
      </c>
      <c r="Z759" s="51"/>
      <c r="AA759" s="7" t="s">
        <v>5176</v>
      </c>
      <c r="AB759" s="49">
        <v>2020</v>
      </c>
      <c r="AC759" s="9">
        <v>43974</v>
      </c>
      <c r="AE759" s="64" t="s">
        <v>1139</v>
      </c>
    </row>
    <row r="760" spans="1:31" ht="12.75">
      <c r="A760" s="4" t="s">
        <v>997</v>
      </c>
      <c r="B760" s="1" t="s">
        <v>5534</v>
      </c>
      <c r="C760" s="1" t="s">
        <v>998</v>
      </c>
      <c r="D760" s="1" t="s">
        <v>999</v>
      </c>
      <c r="E760" s="2">
        <v>973</v>
      </c>
      <c r="F760" s="2">
        <v>31</v>
      </c>
      <c r="G760" s="3" t="s">
        <v>1000</v>
      </c>
      <c r="H760" s="3" t="s">
        <v>1001</v>
      </c>
      <c r="I760" s="3" t="s">
        <v>1002</v>
      </c>
      <c r="J760" s="44" t="str">
        <f>HYPERLINK("https://www.centcols.org/util/geo/visuGen.php?code=FR-88-0973","FR-88-0973")</f>
        <v>FR-88-0973</v>
      </c>
      <c r="K760" s="3"/>
      <c r="L760" s="1" t="s">
        <v>1003</v>
      </c>
      <c r="M760" s="8">
        <v>1</v>
      </c>
      <c r="N760" s="8">
        <v>10</v>
      </c>
      <c r="O760" s="4"/>
      <c r="P760" s="3"/>
      <c r="Q760" s="3" t="s">
        <v>1004</v>
      </c>
      <c r="R760" s="3" t="s">
        <v>1005</v>
      </c>
      <c r="S760" s="25">
        <v>6.785894</v>
      </c>
      <c r="T760" s="25">
        <v>48.001002</v>
      </c>
      <c r="U760" s="2">
        <v>32</v>
      </c>
      <c r="V760" s="3">
        <v>234845</v>
      </c>
      <c r="W760" s="3">
        <v>5318784</v>
      </c>
      <c r="X760" s="25">
        <v>4.943565</v>
      </c>
      <c r="Y760" s="25">
        <v>53.33451</v>
      </c>
      <c r="Z760" s="6"/>
      <c r="AA760" s="7" t="s">
        <v>5138</v>
      </c>
      <c r="AB760" s="8">
        <v>2014</v>
      </c>
      <c r="AC760" s="9">
        <v>41769</v>
      </c>
      <c r="AD760" s="10"/>
      <c r="AE760" s="31" t="s">
        <v>1006</v>
      </c>
    </row>
    <row r="761" spans="1:31" ht="12.75">
      <c r="A761" s="4" t="s">
        <v>1007</v>
      </c>
      <c r="B761" s="1" t="s">
        <v>5202</v>
      </c>
      <c r="C761" s="1" t="s">
        <v>1008</v>
      </c>
      <c r="D761" s="1" t="s">
        <v>1009</v>
      </c>
      <c r="E761" s="2">
        <v>196</v>
      </c>
      <c r="F761" s="2">
        <v>28</v>
      </c>
      <c r="G761" s="3" t="s">
        <v>1010</v>
      </c>
      <c r="H761" s="3" t="s">
        <v>1011</v>
      </c>
      <c r="I761" s="3" t="s">
        <v>1012</v>
      </c>
      <c r="J761" s="44" t="str">
        <f>HYPERLINK("https://www.centcols.org/util/geo/visuGen.php?code=FR-89-0196","FR-89-0196")</f>
        <v>FR-89-0196</v>
      </c>
      <c r="K761" s="3"/>
      <c r="L761" s="1" t="s">
        <v>5138</v>
      </c>
      <c r="M761" s="8">
        <v>99</v>
      </c>
      <c r="N761" s="8">
        <v>10</v>
      </c>
      <c r="O761" s="4"/>
      <c r="P761" s="3"/>
      <c r="Q761" s="3" t="s">
        <v>1013</v>
      </c>
      <c r="R761" s="3" t="s">
        <v>1014</v>
      </c>
      <c r="S761" s="25">
        <v>3.863417</v>
      </c>
      <c r="T761" s="25">
        <v>47.567977</v>
      </c>
      <c r="U761" s="2">
        <v>31</v>
      </c>
      <c r="V761" s="3">
        <v>564943</v>
      </c>
      <c r="W761" s="3">
        <v>5268646</v>
      </c>
      <c r="X761" s="25">
        <v>1.696478</v>
      </c>
      <c r="Y761" s="25">
        <v>52.853376</v>
      </c>
      <c r="Z761" s="6"/>
      <c r="AA761" s="7" t="s">
        <v>5138</v>
      </c>
      <c r="AB761" s="8">
        <v>2016</v>
      </c>
      <c r="AC761" s="9"/>
      <c r="AD761" s="10"/>
      <c r="AE761" s="31" t="s">
        <v>1015</v>
      </c>
    </row>
    <row r="762" spans="1:31" s="55" customFormat="1" ht="11.25">
      <c r="A762" s="4" t="s">
        <v>1016</v>
      </c>
      <c r="B762" s="1" t="s">
        <v>1017</v>
      </c>
      <c r="C762" s="1" t="s">
        <v>1018</v>
      </c>
      <c r="D762" s="1" t="s">
        <v>1019</v>
      </c>
      <c r="E762" s="2">
        <v>380</v>
      </c>
      <c r="F762" s="2">
        <v>28</v>
      </c>
      <c r="G762" s="3" t="s">
        <v>1569</v>
      </c>
      <c r="H762" s="3" t="s">
        <v>1020</v>
      </c>
      <c r="I762" s="3" t="s">
        <v>1021</v>
      </c>
      <c r="J762" s="44" t="str">
        <f>HYPERLINK("https://www.centcols.org/util/geo/visuGen.php?code=FR-89-0380","FR-89-0380")</f>
        <v>FR-89-0380</v>
      </c>
      <c r="K762" s="3"/>
      <c r="L762" s="1"/>
      <c r="M762" s="8">
        <v>99</v>
      </c>
      <c r="N762" s="8">
        <v>20</v>
      </c>
      <c r="O762" s="4"/>
      <c r="P762" s="3"/>
      <c r="Q762" s="3" t="s">
        <v>1022</v>
      </c>
      <c r="R762" s="3" t="s">
        <v>1023</v>
      </c>
      <c r="S762" s="25">
        <v>3.9442316499155297</v>
      </c>
      <c r="T762" s="25">
        <v>47.397012863341686</v>
      </c>
      <c r="U762" s="2">
        <v>31</v>
      </c>
      <c r="V762" s="3">
        <v>571252</v>
      </c>
      <c r="W762" s="3">
        <v>5249716</v>
      </c>
      <c r="X762" s="25">
        <v>1.786268077526617</v>
      </c>
      <c r="Y762" s="25">
        <v>52.66341261830144</v>
      </c>
      <c r="Z762" s="6"/>
      <c r="AA762" s="7" t="s">
        <v>5138</v>
      </c>
      <c r="AB762" s="8">
        <v>2003</v>
      </c>
      <c r="AC762" s="9"/>
      <c r="AD762" s="10">
        <v>1</v>
      </c>
      <c r="AE762" s="31" t="s">
        <v>1024</v>
      </c>
    </row>
    <row r="763" spans="1:31" s="55" customFormat="1" ht="11.25">
      <c r="A763" s="4" t="s">
        <v>1025</v>
      </c>
      <c r="B763" s="1" t="s">
        <v>5923</v>
      </c>
      <c r="C763" s="1" t="s">
        <v>1026</v>
      </c>
      <c r="D763" s="1" t="s">
        <v>1027</v>
      </c>
      <c r="E763" s="2">
        <v>82</v>
      </c>
      <c r="F763" s="2">
        <v>20</v>
      </c>
      <c r="G763" s="3" t="s">
        <v>1028</v>
      </c>
      <c r="H763" s="3" t="s">
        <v>1029</v>
      </c>
      <c r="I763" s="3" t="s">
        <v>1030</v>
      </c>
      <c r="J763" s="44" t="str">
        <f>HYPERLINK("https://www.centcols.org/util/geo/visuGen.php?code=FR-91-0082","FR-91-0082")</f>
        <v>FR-91-0082</v>
      </c>
      <c r="K763" s="3" t="s">
        <v>1031</v>
      </c>
      <c r="L763" s="1" t="s">
        <v>5157</v>
      </c>
      <c r="M763" s="8">
        <v>0</v>
      </c>
      <c r="N763" s="8">
        <v>0</v>
      </c>
      <c r="O763" s="4"/>
      <c r="P763" s="3"/>
      <c r="Q763" s="3" t="s">
        <v>1032</v>
      </c>
      <c r="R763" s="3" t="s">
        <v>1033</v>
      </c>
      <c r="S763" s="25">
        <v>2.304152657038014</v>
      </c>
      <c r="T763" s="25">
        <v>48.467203201494655</v>
      </c>
      <c r="U763" s="2">
        <v>31</v>
      </c>
      <c r="V763" s="3">
        <v>448563</v>
      </c>
      <c r="W763" s="3">
        <v>5368464</v>
      </c>
      <c r="X763" s="25">
        <v>-0.03596935091028207</v>
      </c>
      <c r="Y763" s="25">
        <v>53.85252014063216</v>
      </c>
      <c r="Z763" s="6"/>
      <c r="AA763" s="7" t="s">
        <v>5138</v>
      </c>
      <c r="AB763" s="8">
        <v>2005</v>
      </c>
      <c r="AC763" s="9"/>
      <c r="AD763" s="10">
        <v>1</v>
      </c>
      <c r="AE763" s="31" t="s">
        <v>4128</v>
      </c>
    </row>
    <row r="764" spans="1:31" s="18" customFormat="1" ht="11.25">
      <c r="A764" s="4" t="s">
        <v>1034</v>
      </c>
      <c r="B764" s="1" t="s">
        <v>5923</v>
      </c>
      <c r="C764" s="1" t="s">
        <v>1035</v>
      </c>
      <c r="D764" s="1" t="s">
        <v>1036</v>
      </c>
      <c r="E764" s="2">
        <v>137</v>
      </c>
      <c r="F764" s="2">
        <v>20</v>
      </c>
      <c r="G764" s="3" t="s">
        <v>1028</v>
      </c>
      <c r="H764" s="3" t="s">
        <v>1037</v>
      </c>
      <c r="I764" s="3" t="s">
        <v>1038</v>
      </c>
      <c r="J764" s="44" t="str">
        <f>HYPERLINK("https://www.centcols.org/util/geo/visuGen.php?code=FR-91-0137","FR-91-0137")</f>
        <v>FR-91-0137</v>
      </c>
      <c r="K764" s="3" t="s">
        <v>1039</v>
      </c>
      <c r="L764" s="1" t="s">
        <v>982</v>
      </c>
      <c r="M764" s="8">
        <v>0</v>
      </c>
      <c r="N764" s="8">
        <v>0</v>
      </c>
      <c r="O764" s="4"/>
      <c r="P764" s="3"/>
      <c r="Q764" s="3" t="s">
        <v>1040</v>
      </c>
      <c r="R764" s="3" t="s">
        <v>1041</v>
      </c>
      <c r="S764" s="25">
        <v>2.274128546675734</v>
      </c>
      <c r="T764" s="25">
        <v>48.535490914096236</v>
      </c>
      <c r="U764" s="2">
        <v>31</v>
      </c>
      <c r="V764" s="3">
        <v>446416</v>
      </c>
      <c r="W764" s="3">
        <v>5376075</v>
      </c>
      <c r="X764" s="25">
        <v>-0.06932762444960004</v>
      </c>
      <c r="Y764" s="25">
        <v>53.928395902460416</v>
      </c>
      <c r="Z764" s="6"/>
      <c r="AA764" s="7" t="s">
        <v>5138</v>
      </c>
      <c r="AB764" s="8">
        <v>2003</v>
      </c>
      <c r="AC764" s="9"/>
      <c r="AD764" s="10">
        <v>1</v>
      </c>
      <c r="AE764" s="31" t="s">
        <v>4128</v>
      </c>
    </row>
  </sheetData>
  <sheetProtection/>
  <hyperlinks>
    <hyperlink ref="E319" r:id="rId1" display="http://www.centcols.org/util/geo/visuFR.php?code=FR-26-0765a"/>
    <hyperlink ref="J108" r:id="rId2" display="http://www.centcols.org/util/geo/visuGen.php?code=FR-06-1109"/>
    <hyperlink ref="J213" r:id="rId3" display="http://www.centcols.org/util/geo/visuGen.php?code=FR-11-0315c"/>
    <hyperlink ref="J214" r:id="rId4" display="http://www.centcols.org/util/geo/visuFR.php?code=FR-11-0318"/>
    <hyperlink ref="J221" r:id="rId5" display="http://www.centcols.org/util/geo/visuGen.php?code=FR-11-0415a"/>
    <hyperlink ref="J241" r:id="rId6" display="http://www.centcols.org/util/geo/visuGen.php?code=FR-12-0498"/>
    <hyperlink ref="J252" r:id="rId7" display="http://www.centcols.org/util/geo/visuGen.php?code=FR-13-0051"/>
    <hyperlink ref="J253" r:id="rId8" display="http://www.centcols.org/util/geo/visuGen.php?code=FR-13-0085"/>
    <hyperlink ref="J260" r:id="rId9" display="http://www.centcols.org/util/geo/visuFR.php?code=FR-13-0330b"/>
    <hyperlink ref="J261" r:id="rId10" display="http://www.centcols.org/util/geo/visuGen.php?code=FR-13-0340"/>
    <hyperlink ref="J262" r:id="rId11" display="http://www.centcols.org/util/geo/visuGen.php?code=FR-13-0350"/>
    <hyperlink ref="J274" r:id="rId12" display="http://www.centcols.org/util/geo/visuFR.php?code=FR-15-1480"/>
    <hyperlink ref="J281" r:id="rId13" display="http://www.centcols.org/util/geo/visuGen.php?code=FR-21-0518"/>
    <hyperlink ref="J340" r:id="rId14" display="http://www.centcols.org/util/geo/visuGen.php?code=FR-26-1060c"/>
    <hyperlink ref="J376" r:id="rId15" display="http://www.centcols.org/util/geo/visuGen.php?code=FR-2A-2092"/>
    <hyperlink ref="J377" r:id="rId16" display="http://www.centcols.org/util/geo/visuGen.php?code=FR-2B-0100"/>
    <hyperlink ref="J428" r:id="rId17" display="http://www.centcols.org/util/geo/visuGen.php?code=FR-35-0112"/>
    <hyperlink ref="J429" r:id="rId18" display="http://www.centcols.org/util/geo/visuGen.php?code=FR-37-0087"/>
    <hyperlink ref="J454" r:id="rId19" display="http://www.centcols.org/util/geo/visuGen.php?code=FR-38-1563"/>
    <hyperlink ref="J512" r:id="rId20" display="http://www.centcols.org/util/geo/visuGen.php?code=FR-56-0057"/>
    <hyperlink ref="J513" r:id="rId21" display="http://www.centcols.org/util/geo/visuGen.php?code=FR-56-0058"/>
    <hyperlink ref="J514" r:id="rId22" display="http://www.centcols.org/util/geo/visuGen.php?code=FR-56-0085"/>
    <hyperlink ref="J515" r:id="rId23" display="http://www.centcols.org/util/geo/visuGen.php?code=FR-56-0130"/>
    <hyperlink ref="J517" r:id="rId24" display="http://www.centcols.org/util/geo/visuGen.php?code=FR-57-0237"/>
    <hyperlink ref="J523" r:id="rId25" display="http://www.centcols.org/util/geo/visuGen.php?code=FR-58-0382"/>
    <hyperlink ref="J524" r:id="rId26" display="http://www.centcols.org/util/geo/visuGen.php?code=FR-58-0406"/>
    <hyperlink ref="J525" r:id="rId27" display="http://www.centcols.org/util/geo/visuGen.php?code=FR-58-0440"/>
    <hyperlink ref="J526" r:id="rId28" display="http://www.centcols.org/util/geo/visuGen.php?code=FR-58-0530"/>
    <hyperlink ref="J527" r:id="rId29" display="http://www.centcols.org/util/geo/visuGen.php?code=FR-58-0539"/>
    <hyperlink ref="J528" r:id="rId30" display="http://www.centcols.org/util/geo/visuGen.php?code=FR-58-0564"/>
    <hyperlink ref="J529" r:id="rId31" display="http://www.centcols.org/util/geo/visuGen.php?code=FR-58-0578"/>
    <hyperlink ref="J530" r:id="rId32" display="http://www.centcols.org/util/geo/visuGen.php?code=FR-58-0584"/>
    <hyperlink ref="J531" r:id="rId33" display="http://www.centcols.org/util/geo/visuGen.php?code=FR-58-0643"/>
    <hyperlink ref="J532" r:id="rId34" display="http://www.centcols.org/util/geo/visuGen.php?code=FR-58-0714"/>
    <hyperlink ref="J562" r:id="rId35" display="http://www.centcols.org/util/geo/visuGen.php?code=FR-64-0370a"/>
    <hyperlink ref="J563" r:id="rId36" display="http://www.centcols.org/util/geo/visuGen.php?code=FR-64-0403"/>
    <hyperlink ref="J565" r:id="rId37" display="http://www.centcols.org/util/geo/visuGen.php?code=FR-64-0494"/>
    <hyperlink ref="J585" r:id="rId38" display="http://www.centcols.org/util/geo/visuGen.php?code=FR-65-0521"/>
    <hyperlink ref="J604" r:id="rId39" display="http://www.centcols.org/util/geo/visuGen.php?code=FR-65-2125"/>
    <hyperlink ref="J606" r:id="rId40" display="http://www.centcols.org/util/geo/visuGen.php?code=FR-65-2752"/>
    <hyperlink ref="J607" r:id="rId41" display="http://www.centcols.org/util/geo/visuGen.php?code=FR-65-2935a"/>
    <hyperlink ref="J611" r:id="rId42" display="http://www.centcols.org/util/geo/visuGen.php?code=FR-66-0250b"/>
    <hyperlink ref="J614" r:id="rId43" display="http://www.centcols.org/util/geo/visuGen.php?code=FR-66-0696a"/>
    <hyperlink ref="J620" r:id="rId44" display="http://www.centcols.org/util/geo/visuGen.php?code=FR-66-1220"/>
    <hyperlink ref="J621" r:id="rId45" display="http://www.centcols.org/util/geo/visuGen.php?code=FR-66-1255"/>
    <hyperlink ref="J622" r:id="rId46" display="http://www.centcols.org/util/geo/visuGen.php?code=FR-66-1328"/>
    <hyperlink ref="J623" r:id="rId47" display="http://www.centcols.org/util/geo/visuGen.php?code=FR-66-1329"/>
    <hyperlink ref="J624" r:id="rId48" display="http://www.centcols.org/util/geo/visuGen.php?code=FR-66-1377"/>
    <hyperlink ref="J626" r:id="rId49" display="http://www.centcols.org/util/geo/visuGen.php?code=FR-66-1436"/>
    <hyperlink ref="J631" r:id="rId50" display="http://www.centcols.org/util/geo/visuGen.php?code=FR-66-2430"/>
    <hyperlink ref="J637" r:id="rId51" display="http://www.centcols.org/util/geo/visuGen.php?code=FR-68-0353"/>
    <hyperlink ref="J638" r:id="rId52" display="http://www.centcols.org/util/geo/visuGen.php?code=FR-68-0496"/>
    <hyperlink ref="J661" r:id="rId53" display="http://www.centcols.org/util/geo/visuGen.php?code=FR-71-0595"/>
    <hyperlink ref="J662" r:id="rId54" display="http://www.centcols.org/util/geo/visuGen.php?code=FR-71-0623"/>
    <hyperlink ref="J665" r:id="rId55" display="http://www.centcols.org/util/geo/visuGen.php?code=FR-71-0873"/>
    <hyperlink ref="J689" r:id="rId56" display="http://www.centcols.org/util/geo/visuGen.php?code=FR-73-2782"/>
    <hyperlink ref="J751" r:id="rId57" display="http://www.centcols.org/util/geo/visuGen.php?code=FR-84-0715"/>
    <hyperlink ref="J754" r:id="rId58" display="http://www.centcols.org/util/geo/visuGen.php?code=FR-87-0354"/>
    <hyperlink ref="J672" r:id="rId59" display="https://www.centcols.org/util/geo/visuGen.php?code=FR-73-1210"/>
    <hyperlink ref="J759" r:id="rId60" display="https://www.centcols.org/util/geo/visuGen.php?code=FR-88-0772"/>
    <hyperlink ref="J155" r:id="rId61" display="http://www.centcols.org/util/geo/visuGen.php?code=FR-07-1081"/>
  </hyperlinks>
  <printOptions/>
  <pageMargins left="0.787401575" right="0.787401575" top="0.984251969" bottom="0.984251969" header="0.4921259845" footer="0.4921259845"/>
  <pageSetup orientation="portrait" paperSize="9" r:id="rId64"/>
  <ignoredErrors>
    <ignoredError sqref="J1" unlockedFormula="1"/>
    <ignoredError sqref="V695:W695 V182:W182 V16:W16 W418" numberStoredAsText="1"/>
  </ignoredErrors>
  <legacyDrawing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GAMIN</dc:creator>
  <cp:keywords/>
  <dc:description/>
  <cp:lastModifiedBy>Philippe Carrez</cp:lastModifiedBy>
  <dcterms:created xsi:type="dcterms:W3CDTF">2020-03-11T14:47:57Z</dcterms:created>
  <dcterms:modified xsi:type="dcterms:W3CDTF">2020-05-24T07:53:01Z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