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75" windowWidth="14205" windowHeight="9270" activeTab="0"/>
  </bookViews>
  <sheets>
    <sheet name="Non-reconnus" sheetId="1" r:id="rId1"/>
  </sheets>
  <definedNames>
    <definedName name="_tbl2">#REF!</definedName>
    <definedName name="EV__LASTREFTIME__" hidden="1">40878.7109259259</definedName>
    <definedName name="_xlnm.Print_Titles" localSheetId="0">'Non-reconnus'!$1:$1</definedName>
    <definedName name="_xlnm.Print_Area" localSheetId="0">'Non-reconnus'!$A$1:$X$1</definedName>
  </definedNames>
  <calcPr fullCalcOnLoad="1"/>
</workbook>
</file>

<file path=xl/sharedStrings.xml><?xml version="1.0" encoding="utf-8"?>
<sst xmlns="http://schemas.openxmlformats.org/spreadsheetml/2006/main" count="2110" uniqueCount="1422">
  <si>
    <t>Motif</t>
  </si>
  <si>
    <t>ES-AB-0763</t>
  </si>
  <si>
    <t>~</t>
  </si>
  <si>
    <t>El Portillejo</t>
  </si>
  <si>
    <t>AB</t>
  </si>
  <si>
    <t>0744:50-42-13-13</t>
  </si>
  <si>
    <t>0744-4:650-342-26-26</t>
  </si>
  <si>
    <t>0744:114-029</t>
  </si>
  <si>
    <t>576-O26-017-061</t>
  </si>
  <si>
    <t>B-20</t>
  </si>
  <si>
    <t>001°15'22.7"W</t>
  </si>
  <si>
    <t>039°13'05.7"N</t>
  </si>
  <si>
    <t/>
  </si>
  <si>
    <t>supprimé 2017</t>
  </si>
  <si>
    <t>ES-AL-0925</t>
  </si>
  <si>
    <t>Collado ~</t>
  </si>
  <si>
    <t>Moreno</t>
  </si>
  <si>
    <t>Collado Moreno</t>
  </si>
  <si>
    <t>AL</t>
  </si>
  <si>
    <t>0952:80-82-16-00</t>
  </si>
  <si>
    <t>0952-1:580-182-32-01</t>
  </si>
  <si>
    <t>0952:046-063</t>
  </si>
  <si>
    <t>002°05'01.6"W</t>
  </si>
  <si>
    <t>037°46'48.3"N</t>
  </si>
  <si>
    <t>ES-AL-1070</t>
  </si>
  <si>
    <t>Puerto de la ~</t>
  </si>
  <si>
    <t>Virgen</t>
  </si>
  <si>
    <t>Puerto de la Virgen</t>
  </si>
  <si>
    <t>1013:71-26-20-05</t>
  </si>
  <si>
    <t>1013-2:571-126-40-10</t>
  </si>
  <si>
    <t>1013:147-062</t>
  </si>
  <si>
    <t>578-U23-032-077</t>
  </si>
  <si>
    <t>C-332</t>
  </si>
  <si>
    <t>002°11'21.1"W</t>
  </si>
  <si>
    <t>037°16'41.5"N</t>
  </si>
  <si>
    <t>ES-B-0130a</t>
  </si>
  <si>
    <t>El Collet</t>
  </si>
  <si>
    <t>B</t>
  </si>
  <si>
    <t>R</t>
  </si>
  <si>
    <t>supprimé 2014</t>
  </si>
  <si>
    <t>ES-B-0201a</t>
  </si>
  <si>
    <t>0448:06-67-12-12</t>
  </si>
  <si>
    <t>0448-1:406-567-24-24</t>
  </si>
  <si>
    <t>17:05-65-32-52</t>
  </si>
  <si>
    <t>0448:030-048</t>
  </si>
  <si>
    <t>001°53'02.6"E</t>
  </si>
  <si>
    <t>041°15'09.2"N</t>
  </si>
  <si>
    <t>ES-B-0206a</t>
  </si>
  <si>
    <t>Coll ~</t>
  </si>
  <si>
    <t>Serena</t>
  </si>
  <si>
    <t>Coll Serena</t>
  </si>
  <si>
    <t>ES-B-0230g</t>
  </si>
  <si>
    <t>Coll de ~</t>
  </si>
  <si>
    <t>Vaca</t>
  </si>
  <si>
    <t>Coll de Vaca</t>
  </si>
  <si>
    <t>0392:03-07-01-06</t>
  </si>
  <si>
    <t>0392-1:403-607-01-13</t>
  </si>
  <si>
    <t>0392:009-061</t>
  </si>
  <si>
    <t>001°50'06.1"E</t>
  </si>
  <si>
    <t>041°36'35.4"N</t>
  </si>
  <si>
    <t>RP(Ult)</t>
  </si>
  <si>
    <t>ES-B-0691c</t>
  </si>
  <si>
    <t>Basses</t>
  </si>
  <si>
    <t>Coll de Basses</t>
  </si>
  <si>
    <t>0394:64-12-00-12</t>
  </si>
  <si>
    <t>0394-1:464-612-00-24</t>
  </si>
  <si>
    <t>41:60-10-80-52</t>
  </si>
  <si>
    <t>0394:036-090</t>
  </si>
  <si>
    <t>S2-3-2</t>
  </si>
  <si>
    <t>002°33'59.3"E</t>
  </si>
  <si>
    <t>041°39'45.0"N</t>
  </si>
  <si>
    <t>ES-B-0733a</t>
  </si>
  <si>
    <t>Grau del ~</t>
  </si>
  <si>
    <t>Presseguer</t>
  </si>
  <si>
    <t>Grau del Presseguer</t>
  </si>
  <si>
    <t>0364:36-22-01-08</t>
  </si>
  <si>
    <t>0364-3:436-622-02-16</t>
  </si>
  <si>
    <t>24:35-20-21-48</t>
  </si>
  <si>
    <t>0364:035-046</t>
  </si>
  <si>
    <t>S</t>
  </si>
  <si>
    <t>002°13'46.5"E</t>
  </si>
  <si>
    <t>041°44'56.2"N</t>
  </si>
  <si>
    <t>Remplace ES-GI-0733a</t>
  </si>
  <si>
    <t>ES-B-0818</t>
  </si>
  <si>
    <t>Grau de les ~
Grau de les ~</t>
  </si>
  <si>
    <t>Avellanedes
Avellaners</t>
  </si>
  <si>
    <t>Grau de les Avellanedes
Grau de les Avellaners</t>
  </si>
  <si>
    <t>0364:36-21-17-02</t>
  </si>
  <si>
    <t>0364-3:436-621-34-05</t>
  </si>
  <si>
    <t>24:35-20-37-22</t>
  </si>
  <si>
    <t>0364:039-039</t>
  </si>
  <si>
    <t>002°14'21.6"E</t>
  </si>
  <si>
    <t>041°44'15.3"N</t>
  </si>
  <si>
    <t>Remplace ES-GI-0822</t>
  </si>
  <si>
    <t>ES-B-0988a</t>
  </si>
  <si>
    <t>Collet de les ~</t>
  </si>
  <si>
    <t>Palomeres</t>
  </si>
  <si>
    <t>Collet de les Palomeres</t>
  </si>
  <si>
    <t>0364:43-20-07-16</t>
  </si>
  <si>
    <t>0364-4:443-620-14-31</t>
  </si>
  <si>
    <t>41:40-20-67-16</t>
  </si>
  <si>
    <t>0364:072-038</t>
  </si>
  <si>
    <t>Montseny</t>
  </si>
  <si>
    <t>002°19'03.9"E</t>
  </si>
  <si>
    <t>041°44'05.7"N</t>
  </si>
  <si>
    <t>ES-B-1073</t>
  </si>
  <si>
    <t>Collet de ~</t>
  </si>
  <si>
    <t>Rajols</t>
  </si>
  <si>
    <t>Collet de Rajols</t>
  </si>
  <si>
    <t>0294:54-52-01-04</t>
  </si>
  <si>
    <t>0294-4:454-652-01-08</t>
  </si>
  <si>
    <t>24:50-50-81-44</t>
  </si>
  <si>
    <t>0294:123-010</t>
  </si>
  <si>
    <t>574-F37-023-005</t>
  </si>
  <si>
    <t>CL</t>
  </si>
  <si>
    <t>002°26'37.1"E</t>
  </si>
  <si>
    <t>042°01'07.0"N</t>
  </si>
  <si>
    <t>Panneau</t>
  </si>
  <si>
    <t>ES-B-1075a</t>
  </si>
  <si>
    <t>Grau ~</t>
  </si>
  <si>
    <t>Segon</t>
  </si>
  <si>
    <t>Grau Segon</t>
  </si>
  <si>
    <t>0255:14-76-11-08</t>
  </si>
  <si>
    <t>0255-3:414-676-22-15</t>
  </si>
  <si>
    <t>14:10-75-91-28</t>
  </si>
  <si>
    <t>0255:062-037</t>
  </si>
  <si>
    <t>001°57'48.1"E</t>
  </si>
  <si>
    <t>042°13'59.1"N</t>
  </si>
  <si>
    <t>ES-B-1250a</t>
  </si>
  <si>
    <t>Collada de ~
Colla de ~</t>
  </si>
  <si>
    <t>Jouet
Jouet</t>
  </si>
  <si>
    <t>Collada de Jouet
Colla de Jouet</t>
  </si>
  <si>
    <t>ES-B-1692</t>
  </si>
  <si>
    <t>Collet ~
Collet ~</t>
  </si>
  <si>
    <t>Llebató
Llobató</t>
  </si>
  <si>
    <t>Collet Llebató
Collet Llobató</t>
  </si>
  <si>
    <t>0255:12-73-07-05</t>
  </si>
  <si>
    <t>0255-3:412-673-15-09</t>
  </si>
  <si>
    <t>0255:052-021</t>
  </si>
  <si>
    <t>R1-2</t>
  </si>
  <si>
    <t>001°56'14.4"E</t>
  </si>
  <si>
    <t>042°12'16.3"N</t>
  </si>
  <si>
    <t>ES-B-1870</t>
  </si>
  <si>
    <t>Catllarí</t>
  </si>
  <si>
    <t>Collet de Catllarí</t>
  </si>
  <si>
    <t>0292:97-66-19-09</t>
  </si>
  <si>
    <t>0292-2:397-666-39-17</t>
  </si>
  <si>
    <t>0292:118-079</t>
  </si>
  <si>
    <t>574-F35-020-039</t>
  </si>
  <si>
    <t>BV-4243</t>
  </si>
  <si>
    <t>001°45'51.1"E</t>
  </si>
  <si>
    <t>042°08'29.6"N</t>
  </si>
  <si>
    <t>Emplacement de l'IGN et du panneau et non pas de l'ICC</t>
  </si>
  <si>
    <t>ES-B-1875</t>
  </si>
  <si>
    <t>Coll de la ~
Coll de ~</t>
  </si>
  <si>
    <t>Bona
Coma Ermada</t>
  </si>
  <si>
    <t>Coll de la Bona
Coll de Coma Ermada</t>
  </si>
  <si>
    <t>ES-BA-0803</t>
  </si>
  <si>
    <t>Puerto de los ~</t>
  </si>
  <si>
    <t>Moledores</t>
  </si>
  <si>
    <t>Puerto de los Moledores</t>
  </si>
  <si>
    <t>BA</t>
  </si>
  <si>
    <t>0897:34-12-03-16</t>
  </si>
  <si>
    <t>0897-4:734-212-05-32</t>
  </si>
  <si>
    <t>0897:082-017</t>
  </si>
  <si>
    <t>006°20'01.8"W</t>
  </si>
  <si>
    <t>038°01'50.6"N</t>
  </si>
  <si>
    <t>ES-BU-0942</t>
  </si>
  <si>
    <t>~
~</t>
  </si>
  <si>
    <t>El Portillón
Ataka</t>
  </si>
  <si>
    <t>BU</t>
  </si>
  <si>
    <t>0111:91-46-07-19</t>
  </si>
  <si>
    <t>0111-3:491-746-14-38</t>
  </si>
  <si>
    <t>0111:033-022</t>
  </si>
  <si>
    <t>ES-VI</t>
  </si>
  <si>
    <t>003°06'26.4"W</t>
  </si>
  <si>
    <t>042°52'23.6"N</t>
  </si>
  <si>
    <t>ES-BU-0946a</t>
  </si>
  <si>
    <t>Alto del ~</t>
  </si>
  <si>
    <t>Portillo</t>
  </si>
  <si>
    <t>Alto del Portillo</t>
  </si>
  <si>
    <t>0085:81-69-00-12</t>
  </si>
  <si>
    <t>0085-4:481-769-01-24</t>
  </si>
  <si>
    <t>0085:117-043</t>
  </si>
  <si>
    <t>003°14'04.0"W</t>
  </si>
  <si>
    <t>043°04'36.9"N</t>
  </si>
  <si>
    <t>ES-C-0076</t>
  </si>
  <si>
    <t>Alto do ~</t>
  </si>
  <si>
    <t>Penso</t>
  </si>
  <si>
    <t>Alto do Penso</t>
  </si>
  <si>
    <t>C</t>
  </si>
  <si>
    <t>0120:12-38-09-06</t>
  </si>
  <si>
    <t>0120-1:512-738-17-12</t>
  </si>
  <si>
    <t>0120:002-071</t>
  </si>
  <si>
    <t>571-D03-031-036</t>
  </si>
  <si>
    <t>Carretera Autonomica 3°</t>
  </si>
  <si>
    <t>008°50'58.2"W</t>
  </si>
  <si>
    <t>042°47'42.8"N</t>
  </si>
  <si>
    <t>ES-C-0225</t>
  </si>
  <si>
    <t>Porto ~</t>
  </si>
  <si>
    <t>Vedro</t>
  </si>
  <si>
    <t>Porto Vedro</t>
  </si>
  <si>
    <t>ES-C-0334</t>
  </si>
  <si>
    <t>Alto dos ~</t>
  </si>
  <si>
    <t>Curros</t>
  </si>
  <si>
    <t>Alto dos Curros</t>
  </si>
  <si>
    <t>0151:02-18-04-02</t>
  </si>
  <si>
    <t>0151-2:502-718-08-05</t>
  </si>
  <si>
    <t>0151:088-063</t>
  </si>
  <si>
    <t>571-E03-005-077</t>
  </si>
  <si>
    <t>Cp-6704</t>
  </si>
  <si>
    <t>008°58'28.5"W</t>
  </si>
  <si>
    <t>042°36'48.7"N</t>
  </si>
  <si>
    <t>ES-C-0547</t>
  </si>
  <si>
    <t>Miradoiro</t>
  </si>
  <si>
    <t>Alto do Miradoiro</t>
  </si>
  <si>
    <t>0120:19-31-18-18</t>
  </si>
  <si>
    <t>0120-3:519-731-36-37</t>
  </si>
  <si>
    <t>0120:039-039</t>
  </si>
  <si>
    <t>HS</t>
  </si>
  <si>
    <t>008°45'30.5"W</t>
  </si>
  <si>
    <t>042°44'15.5"N</t>
  </si>
  <si>
    <t>ES-CA-0072</t>
  </si>
  <si>
    <t>Cruz</t>
  </si>
  <si>
    <t>Puerto de la Cruz</t>
  </si>
  <si>
    <t>CA</t>
  </si>
  <si>
    <t>1077:64-97-04-01</t>
  </si>
  <si>
    <t>1077-2:264-997-09-01</t>
  </si>
  <si>
    <t>1077:106-048</t>
  </si>
  <si>
    <t>578-X13-011-025</t>
  </si>
  <si>
    <t>CA-2213</t>
  </si>
  <si>
    <t>005°37'11.8"W</t>
  </si>
  <si>
    <t>036°05'14.8"N</t>
  </si>
  <si>
    <t>ES-CO-0480</t>
  </si>
  <si>
    <t>Puerto de ~</t>
  </si>
  <si>
    <t>Martín Alonso</t>
  </si>
  <si>
    <t>Puerto de Martín Alonso</t>
  </si>
  <si>
    <t>CO</t>
  </si>
  <si>
    <t>0899:76-20-08-13</t>
  </si>
  <si>
    <t>0899-2:276-220-17-26</t>
  </si>
  <si>
    <t>0899:133-058</t>
  </si>
  <si>
    <t>578-R13-026-029</t>
  </si>
  <si>
    <t>A-447</t>
  </si>
  <si>
    <t>ES-SE</t>
  </si>
  <si>
    <t>005°33'04.4"W</t>
  </si>
  <si>
    <t>038°06'14.9"N</t>
  </si>
  <si>
    <t>ES-CS-0715</t>
  </si>
  <si>
    <t>Cubico</t>
  </si>
  <si>
    <t>Alto del Cubico</t>
  </si>
  <si>
    <t>CS</t>
  </si>
  <si>
    <t>0615:20-31-19-11</t>
  </si>
  <si>
    <t>0615-3:720-431-39-22</t>
  </si>
  <si>
    <t>0615:046-002</t>
  </si>
  <si>
    <t>000°24'45.6"W</t>
  </si>
  <si>
    <t>040°00'12.6"N</t>
  </si>
  <si>
    <t>ES-CS-0735</t>
  </si>
  <si>
    <t>Alto de ~</t>
  </si>
  <si>
    <t>Felinagre</t>
  </si>
  <si>
    <t>Alto de Felinagre</t>
  </si>
  <si>
    <t>0640:20-29-08-13</t>
  </si>
  <si>
    <t>0640-1:720-429-17-25</t>
  </si>
  <si>
    <t>0640:043-085</t>
  </si>
  <si>
    <t>577-M28-053-088</t>
  </si>
  <si>
    <t>CV-203</t>
  </si>
  <si>
    <t>000°25'11.1"W</t>
  </si>
  <si>
    <t>039°59'10.7"N</t>
  </si>
  <si>
    <t>ES-CS-0814a</t>
  </si>
  <si>
    <t>Alto de la ~</t>
  </si>
  <si>
    <t>Alto de la Cruz</t>
  </si>
  <si>
    <t>0640:12-30-04-08</t>
  </si>
  <si>
    <t>0640-1:712-430-08-15</t>
  </si>
  <si>
    <t>0640:002-090</t>
  </si>
  <si>
    <t>000°30'56.3"W</t>
  </si>
  <si>
    <t>039°59'42.4"N</t>
  </si>
  <si>
    <t>ES-CS-0876</t>
  </si>
  <si>
    <t>Carbón</t>
  </si>
  <si>
    <t>Alto del Carbón</t>
  </si>
  <si>
    <t>0639:01-15-08-16</t>
  </si>
  <si>
    <t>0639-4:701-415-16-31</t>
  </si>
  <si>
    <t>0639:089-018</t>
  </si>
  <si>
    <t>000°38'47.6"W</t>
  </si>
  <si>
    <t>039°51'58.8"N</t>
  </si>
  <si>
    <t>ES-CU-0865a</t>
  </si>
  <si>
    <t>Puerto del ~</t>
  </si>
  <si>
    <t>Piojo</t>
  </si>
  <si>
    <t>Puerto del Piojo</t>
  </si>
  <si>
    <t>CU</t>
  </si>
  <si>
    <t>0692:16-76-09-10</t>
  </si>
  <si>
    <t>0692-4:616-376-18-19</t>
  </si>
  <si>
    <t>0692:089-016</t>
  </si>
  <si>
    <t>001°38'46.9"W</t>
  </si>
  <si>
    <t>039°31'41.7"N</t>
  </si>
  <si>
    <t>ES-GC-0270</t>
  </si>
  <si>
    <t>Degollada de la ~</t>
  </si>
  <si>
    <t>Capellanía</t>
  </si>
  <si>
    <t>Degollada de la Capellanía</t>
  </si>
  <si>
    <t>GC</t>
  </si>
  <si>
    <t>Gran Canaria</t>
  </si>
  <si>
    <t>1104:44-93-18-11</t>
  </si>
  <si>
    <t>1104-3:444-093-37-23</t>
  </si>
  <si>
    <t>1104:057-020</t>
  </si>
  <si>
    <t>Ci-18-3</t>
  </si>
  <si>
    <t>015°33'36.0"W</t>
  </si>
  <si>
    <t>027°57'57.9"N</t>
  </si>
  <si>
    <t>ES-GI-0112</t>
  </si>
  <si>
    <t>Coll d'en ~</t>
  </si>
  <si>
    <t>Tric</t>
  </si>
  <si>
    <t>Coll d'en Tric</t>
  </si>
  <si>
    <t>GI</t>
  </si>
  <si>
    <t>0220:91-87-12-10</t>
  </si>
  <si>
    <t>0220-3:491-687-24-20</t>
  </si>
  <si>
    <t>2:90-85-32-50</t>
  </si>
  <si>
    <t>0220:035-003</t>
  </si>
  <si>
    <t>002°53'49.1"E</t>
  </si>
  <si>
    <t>042°20'16.5"N</t>
  </si>
  <si>
    <t>ES-GI-0235a</t>
  </si>
  <si>
    <t>Veta Blanca</t>
  </si>
  <si>
    <t>Coll de Veta Blanca</t>
  </si>
  <si>
    <t>0220:10-96-14-07</t>
  </si>
  <si>
    <t>0220-2:510-696-28-14</t>
  </si>
  <si>
    <t>2:10-95-14-27</t>
  </si>
  <si>
    <t>0220:130-047</t>
  </si>
  <si>
    <t>S2</t>
  </si>
  <si>
    <t>003°07'44.5"E</t>
  </si>
  <si>
    <t>042°25'03.3"N</t>
  </si>
  <si>
    <t>ES-GI-0395</t>
  </si>
  <si>
    <t>Coll de l'~</t>
  </si>
  <si>
    <t>Abat</t>
  </si>
  <si>
    <t>Coll de l'Abat</t>
  </si>
  <si>
    <t>0220:07-95-18-05</t>
  </si>
  <si>
    <t>0220-4:507-695-36-09</t>
  </si>
  <si>
    <t>2:05-95-58-05</t>
  </si>
  <si>
    <t>0220:116-041</t>
  </si>
  <si>
    <t>R2</t>
  </si>
  <si>
    <t>003°05'41.9"E</t>
  </si>
  <si>
    <t>042°24'27.2"N</t>
  </si>
  <si>
    <t>ES-GI-0550a</t>
  </si>
  <si>
    <t>Robleda</t>
  </si>
  <si>
    <t>Collet de Robleda</t>
  </si>
  <si>
    <t>0333:64-42-15-00</t>
  </si>
  <si>
    <t>0333-1:464-642-30-00</t>
  </si>
  <si>
    <t>34:60-40-95-40</t>
  </si>
  <si>
    <t>0333:039-052</t>
  </si>
  <si>
    <t>002°34'25.5"E</t>
  </si>
  <si>
    <t>041°55'38.5"N</t>
  </si>
  <si>
    <t>ES-GI-0650b</t>
  </si>
  <si>
    <t>Collet del ~</t>
  </si>
  <si>
    <t>Sucre</t>
  </si>
  <si>
    <t>Collet del Sucre</t>
  </si>
  <si>
    <t>0257:78-77-16-16</t>
  </si>
  <si>
    <t>0257-2:478-677-32-33</t>
  </si>
  <si>
    <t>19:75-75-76-56</t>
  </si>
  <si>
    <t>0257:108-047</t>
  </si>
  <si>
    <t>R1 sur 500 m</t>
  </si>
  <si>
    <t>002°44'30.9"E</t>
  </si>
  <si>
    <t>042°15'01.7"N</t>
  </si>
  <si>
    <t>ES-GI-0737a</t>
  </si>
  <si>
    <t>Collet de la ~</t>
  </si>
  <si>
    <t>Calcinera</t>
  </si>
  <si>
    <t>Collet de la Calcinera</t>
  </si>
  <si>
    <t>0333:66-40-01-04</t>
  </si>
  <si>
    <t>0333-3:466-640-03-09</t>
  </si>
  <si>
    <t>34:65-40-21-04</t>
  </si>
  <si>
    <t>0333:046-043</t>
  </si>
  <si>
    <t>002°35'23.0"E</t>
  </si>
  <si>
    <t>041°54'40.8"N</t>
  </si>
  <si>
    <t>ES-GI-0805b</t>
  </si>
  <si>
    <t>Batet</t>
  </si>
  <si>
    <t>Coll de Batet</t>
  </si>
  <si>
    <t>ES-GI-0845a</t>
  </si>
  <si>
    <t>Merlar</t>
  </si>
  <si>
    <t>Coll de Merlar</t>
  </si>
  <si>
    <t>0257:71-82-02-05</t>
  </si>
  <si>
    <t>0257-2:471-682-04-09</t>
  </si>
  <si>
    <t>0257:070-068</t>
  </si>
  <si>
    <t>002°38'53.9"E</t>
  </si>
  <si>
    <t>042°17'23.7"N</t>
  </si>
  <si>
    <t>ES-GI-0985c</t>
  </si>
  <si>
    <t>Pla del ~
Collada ~</t>
  </si>
  <si>
    <t>Barral
Fosca</t>
  </si>
  <si>
    <t>Pla del Barral
Collada Fosca</t>
  </si>
  <si>
    <t>0364:50-28-04-16</t>
  </si>
  <si>
    <t>0364-2:450-628-07-32</t>
  </si>
  <si>
    <t>24:50-25-04-76</t>
  </si>
  <si>
    <t>0364:105-078</t>
  </si>
  <si>
    <t>002°23'56.6"E</t>
  </si>
  <si>
    <t>041°48'27.2"N</t>
  </si>
  <si>
    <t>ES-GI-1070</t>
  </si>
  <si>
    <t>Creueta</t>
  </si>
  <si>
    <t>Coll de Creueta</t>
  </si>
  <si>
    <t>ES-GI-1329</t>
  </si>
  <si>
    <t>~
Collet del ~</t>
  </si>
  <si>
    <t>Les Collades
Pla de l'Estiu</t>
  </si>
  <si>
    <t>Les Collades
Collet del Pla de l'Estiu</t>
  </si>
  <si>
    <t>0219:75-95-17-18</t>
  </si>
  <si>
    <t>0219-4:475-695-34-36</t>
  </si>
  <si>
    <t>2:75-95-17-18</t>
  </si>
  <si>
    <t>0219:093-044</t>
  </si>
  <si>
    <t>FR-66-1329</t>
  </si>
  <si>
    <t>002°42'19.3"E</t>
  </si>
  <si>
    <t>042°24'47.3"N</t>
  </si>
  <si>
    <t>ES-GI-1420</t>
  </si>
  <si>
    <t>Sant Martí</t>
  </si>
  <si>
    <t>Coll de Sant Martí</t>
  </si>
  <si>
    <t>0219:77-96-02-18</t>
  </si>
  <si>
    <t>0219-2:477-696-05-36</t>
  </si>
  <si>
    <t>2:75-95-42-38</t>
  </si>
  <si>
    <t>0219:099-049</t>
  </si>
  <si>
    <t>FR-66-1420</t>
  </si>
  <si>
    <t>002°43'14.8"E</t>
  </si>
  <si>
    <t>042°25'19.7"N</t>
  </si>
  <si>
    <t>ES-GI-1579</t>
  </si>
  <si>
    <t>Sobirana</t>
  </si>
  <si>
    <t>Coll Sobirana</t>
  </si>
  <si>
    <t>0364:54-29-09-04</t>
  </si>
  <si>
    <t>0364-2:454-629-18-08</t>
  </si>
  <si>
    <t>34:50-25-89-84</t>
  </si>
  <si>
    <t>0364:127-080</t>
  </si>
  <si>
    <t>002°27'01.9"E</t>
  </si>
  <si>
    <t>041°48'41.5"N</t>
  </si>
  <si>
    <t>ES-GI-1805</t>
  </si>
  <si>
    <t>Els Collets</t>
  </si>
  <si>
    <t>0218:33-90-08-10</t>
  </si>
  <si>
    <t>0218-3:433-690-15-21</t>
  </si>
  <si>
    <t>31:30-90-68-10</t>
  </si>
  <si>
    <t>0218:018-016</t>
  </si>
  <si>
    <t>002°11'23.4"E</t>
  </si>
  <si>
    <t>042°21'44.0"N</t>
  </si>
  <si>
    <t>ES-GI-2501</t>
  </si>
  <si>
    <t>Pas dels ~</t>
  </si>
  <si>
    <t>Lladres</t>
  </si>
  <si>
    <t>Pas dels Lladres</t>
  </si>
  <si>
    <t>0217:25-91-07-19</t>
  </si>
  <si>
    <t>0217-4:425-691-14-39</t>
  </si>
  <si>
    <t>31:25-90-07-39</t>
  </si>
  <si>
    <t>0217:115-023</t>
  </si>
  <si>
    <t>R2-3</t>
  </si>
  <si>
    <t>FR-66-2505</t>
  </si>
  <si>
    <t>002°05'31.9"E</t>
  </si>
  <si>
    <t>042°22'28.6"N</t>
  </si>
  <si>
    <t>ES-GR-1745</t>
  </si>
  <si>
    <t>Collado de las ~</t>
  </si>
  <si>
    <t>Buitreras</t>
  </si>
  <si>
    <t>Collado de las Buitreras</t>
  </si>
  <si>
    <t>GR</t>
  </si>
  <si>
    <t>1010:56-29-14-17</t>
  </si>
  <si>
    <t>1010-1:456-129-28-34</t>
  </si>
  <si>
    <t>1010:014-081</t>
  </si>
  <si>
    <t>003°29'23.7"W</t>
  </si>
  <si>
    <t>037°18'44.7"N</t>
  </si>
  <si>
    <t>ES-GU-1076</t>
  </si>
  <si>
    <t>~ Collado</t>
  </si>
  <si>
    <t>Majada</t>
  </si>
  <si>
    <t>Majada Collado</t>
  </si>
  <si>
    <t>GU</t>
  </si>
  <si>
    <t>0513:55-19-05-19</t>
  </si>
  <si>
    <t>0513-2:555-519-10-38</t>
  </si>
  <si>
    <t>0513:074-089</t>
  </si>
  <si>
    <t>002°20'46.2"W</t>
  </si>
  <si>
    <t>040°49'36.8"N</t>
  </si>
  <si>
    <t>ES-GU-1458</t>
  </si>
  <si>
    <t>Collado de la ~</t>
  </si>
  <si>
    <t>Pinilla</t>
  </si>
  <si>
    <t>Collado de la Pinilla</t>
  </si>
  <si>
    <t>0485:64-35-12-08</t>
  </si>
  <si>
    <t>0485-1:464-535-25-17</t>
  </si>
  <si>
    <t>0485:042-074</t>
  </si>
  <si>
    <t>ES-M</t>
  </si>
  <si>
    <t>003°25'18.4"W</t>
  </si>
  <si>
    <t>040°58'02.3"N</t>
  </si>
  <si>
    <t>ES-H-0258a</t>
  </si>
  <si>
    <t>Gacho</t>
  </si>
  <si>
    <t>Alto del Gacho</t>
  </si>
  <si>
    <t>H</t>
  </si>
  <si>
    <t>0960:17-56-11-09</t>
  </si>
  <si>
    <t>0960-4:717-156-23-18</t>
  </si>
  <si>
    <t>0960:139-015</t>
  </si>
  <si>
    <t>578-T10-028-054</t>
  </si>
  <si>
    <t>HV-5131</t>
  </si>
  <si>
    <t>006°32'21.3"W</t>
  </si>
  <si>
    <t>037°31'38.9"N</t>
  </si>
  <si>
    <t>ES-H-0408</t>
  </si>
  <si>
    <t>Carreteros</t>
  </si>
  <si>
    <t>Puerto de los Carreteros</t>
  </si>
  <si>
    <t>0895:86-24-17-14</t>
  </si>
  <si>
    <t>0895-2:686-224-34-29</t>
  </si>
  <si>
    <t>0895:140-083</t>
  </si>
  <si>
    <t>578-R09-029-042</t>
  </si>
  <si>
    <t>H-212</t>
  </si>
  <si>
    <t>006°52'08.9"W</t>
  </si>
  <si>
    <t>038°08'57.1"N</t>
  </si>
  <si>
    <t>ES-H-0593</t>
  </si>
  <si>
    <t>Los Collados</t>
  </si>
  <si>
    <t>0917:15-00-02-03</t>
  </si>
  <si>
    <t>0917-2:715-200-03-06</t>
  </si>
  <si>
    <t>0917:132-049</t>
  </si>
  <si>
    <t>006°33'16.3"W</t>
  </si>
  <si>
    <t>037°55'18.2"N</t>
  </si>
  <si>
    <t>ES-HU-1463</t>
  </si>
  <si>
    <t>Col de ~</t>
  </si>
  <si>
    <t>Latros</t>
  </si>
  <si>
    <t>Col de Latros</t>
  </si>
  <si>
    <t>HU</t>
  </si>
  <si>
    <t>0145:03-38-14-15</t>
  </si>
  <si>
    <t>0145-1:703-738-27-30</t>
  </si>
  <si>
    <t>0145:004-059</t>
  </si>
  <si>
    <t>000°30'42.2"W</t>
  </si>
  <si>
    <t>042°46'20.7"N</t>
  </si>
  <si>
    <t>ES-HU-1821</t>
  </si>
  <si>
    <t>Bielsa</t>
  </si>
  <si>
    <t>Puerto de Bielsa</t>
  </si>
  <si>
    <t>0147:70-35-04-02</t>
  </si>
  <si>
    <t>0147-3:270-735-08-03</t>
  </si>
  <si>
    <t>0147:019-036</t>
  </si>
  <si>
    <t>FR-65-2429</t>
  </si>
  <si>
    <t>000°11'30.8"E</t>
  </si>
  <si>
    <t>042°43'55.2"N</t>
  </si>
  <si>
    <t>ES-HU-1957a</t>
  </si>
  <si>
    <t>Paso de ~</t>
  </si>
  <si>
    <t>Chandalán</t>
  </si>
  <si>
    <t>Paso de Chandalán</t>
  </si>
  <si>
    <t>0118:80-45-16-13</t>
  </si>
  <si>
    <t>0118-3:680-745-33-26</t>
  </si>
  <si>
    <t>0118:027-004</t>
  </si>
  <si>
    <t>000°47'19.1"W</t>
  </si>
  <si>
    <t>042°50'24.7"N</t>
  </si>
  <si>
    <t>ES-HU-2719</t>
  </si>
  <si>
    <t>Boquetius</t>
  </si>
  <si>
    <t>Coll de Boquetius</t>
  </si>
  <si>
    <t>0180:08-20-01-07</t>
  </si>
  <si>
    <t>0180-2:308-720-02-13</t>
  </si>
  <si>
    <t>0180:074-061</t>
  </si>
  <si>
    <t>000°39'31.6"E</t>
  </si>
  <si>
    <t>042°36'34.9"N</t>
  </si>
  <si>
    <t>ES-HU-2915</t>
  </si>
  <si>
    <t>Brecha de ~</t>
  </si>
  <si>
    <t>Tapou</t>
  </si>
  <si>
    <t>Brecha de Tapou</t>
  </si>
  <si>
    <t>0146:34-38-16-05</t>
  </si>
  <si>
    <t>0146-1:734-738-31-09</t>
  </si>
  <si>
    <t>0146:023-051</t>
  </si>
  <si>
    <t>000°07'55.8"W</t>
  </si>
  <si>
    <t>042°45'31.7"N</t>
  </si>
  <si>
    <t>ES-L-0290</t>
  </si>
  <si>
    <t>Los Colls</t>
  </si>
  <si>
    <t>L</t>
  </si>
  <si>
    <t>0389:22-05-07-08</t>
  </si>
  <si>
    <t>0389-3:322-605-13-17</t>
  </si>
  <si>
    <t>18:20-05-47-09</t>
  </si>
  <si>
    <t>0389:023-044</t>
  </si>
  <si>
    <t>000°52'03.5"E</t>
  </si>
  <si>
    <t>41°34'44.1"N</t>
  </si>
  <si>
    <t>ICC 5k</t>
  </si>
  <si>
    <t>supprimé 2018</t>
  </si>
  <si>
    <t>ES-L-0690g</t>
  </si>
  <si>
    <t>Grau d'~</t>
  </si>
  <si>
    <t>Oliana</t>
  </si>
  <si>
    <t>Grau d'Oliana</t>
  </si>
  <si>
    <t>ES-L-1430c</t>
  </si>
  <si>
    <t>Els Colls</t>
  </si>
  <si>
    <t>ES-L-2363</t>
  </si>
  <si>
    <t>Còth dera ~</t>
  </si>
  <si>
    <t>Barracomica</t>
  </si>
  <si>
    <t>Còth dera Barracomica</t>
  </si>
  <si>
    <t>0118B-0148:18-40-04-02</t>
  </si>
  <si>
    <t>0148-2:318-740-08-04</t>
  </si>
  <si>
    <t>39:15-40-64-02</t>
  </si>
  <si>
    <t>0118B-0148:122-069</t>
  </si>
  <si>
    <t>000°46'33.8"E</t>
  </si>
  <si>
    <t>042°47'24.1"N</t>
  </si>
  <si>
    <t>ES-L-2438</t>
  </si>
  <si>
    <t>Pas de l'~</t>
  </si>
  <si>
    <t>Escalette</t>
  </si>
  <si>
    <t>Pas de l'Escalette</t>
  </si>
  <si>
    <t>0118B-0148:09-29-06-04</t>
  </si>
  <si>
    <t>0148-4:309-729-13-09</t>
  </si>
  <si>
    <t>39:05-25-86-84</t>
  </si>
  <si>
    <t>0118B-0148:079-013</t>
  </si>
  <si>
    <t>S3-4</t>
  </si>
  <si>
    <t>FR-31-2396</t>
  </si>
  <si>
    <t>000°40'16.4"E</t>
  </si>
  <si>
    <t>042°41'23.8"N</t>
  </si>
  <si>
    <t>ES-LE-1283</t>
  </si>
  <si>
    <t>Alto el ~</t>
  </si>
  <si>
    <t>Cueto</t>
  </si>
  <si>
    <t>Alto el Cueto</t>
  </si>
  <si>
    <t>LE</t>
  </si>
  <si>
    <t>0103:92-50-07-05</t>
  </si>
  <si>
    <t>0103-4:292-750-13-09</t>
  </si>
  <si>
    <t>0103:127-023</t>
  </si>
  <si>
    <t>005°32'38.1"W</t>
  </si>
  <si>
    <t>042°52'28.5"N</t>
  </si>
  <si>
    <t>ES-LE-1362</t>
  </si>
  <si>
    <t>Alto ~</t>
  </si>
  <si>
    <t>Yagüencias</t>
  </si>
  <si>
    <t>Alto Yagüencias</t>
  </si>
  <si>
    <t>0103:91-50-10-03</t>
  </si>
  <si>
    <t>0103-4:291-750-20-06</t>
  </si>
  <si>
    <t>0103:123-022</t>
  </si>
  <si>
    <t>005°33'14.2"W</t>
  </si>
  <si>
    <t>042°52'24.8"N</t>
  </si>
  <si>
    <t>ES-LE-1364</t>
  </si>
  <si>
    <t>Collada</t>
  </si>
  <si>
    <t>Alto de la Collada</t>
  </si>
  <si>
    <t>0101:09-59-03-09</t>
  </si>
  <si>
    <t>0101-1:709-759-06-18</t>
  </si>
  <si>
    <t>0101:034-069</t>
  </si>
  <si>
    <t>575-D10-047-080</t>
  </si>
  <si>
    <t>ES-O</t>
  </si>
  <si>
    <t>006°26'14.0"W</t>
  </si>
  <si>
    <t>042°57'25.4"N</t>
  </si>
  <si>
    <t>ES-LE-1389b</t>
  </si>
  <si>
    <t>Campa</t>
  </si>
  <si>
    <t>Alto de la Campa</t>
  </si>
  <si>
    <t>0103:87-51-14-05</t>
  </si>
  <si>
    <t>0103-4:287-751-29-10</t>
  </si>
  <si>
    <t>0103:104-027</t>
  </si>
  <si>
    <t>-</t>
  </si>
  <si>
    <t>005°36'02.5"W</t>
  </si>
  <si>
    <t>042°52'56.9"N</t>
  </si>
  <si>
    <t>ES-LE-1408</t>
  </si>
  <si>
    <t>Collada de ~</t>
  </si>
  <si>
    <t>Llaete</t>
  </si>
  <si>
    <t>Collada de Llaete</t>
  </si>
  <si>
    <t>0080:30-76-14-09</t>
  </si>
  <si>
    <t>0080-1:330-776-27-19</t>
  </si>
  <si>
    <t>0080:043-067</t>
  </si>
  <si>
    <t>005°04'57.7"W</t>
  </si>
  <si>
    <t>043°07'12.7"N</t>
  </si>
  <si>
    <t>ES-LE-1637b</t>
  </si>
  <si>
    <t>Collado de ~</t>
  </si>
  <si>
    <t>Armada</t>
  </si>
  <si>
    <t>Collado de Armada</t>
  </si>
  <si>
    <t>0106:52-55-09-00</t>
  </si>
  <si>
    <t>0106-1:352-755-17-01</t>
  </si>
  <si>
    <t>0106:018-055</t>
  </si>
  <si>
    <t>ES-P</t>
  </si>
  <si>
    <t>004°48'35.2"W</t>
  </si>
  <si>
    <t>042°55'54.0"N</t>
  </si>
  <si>
    <t>ES-LE-1747</t>
  </si>
  <si>
    <t>Bustapiedra</t>
  </si>
  <si>
    <t>Alto de Bustapiedra</t>
  </si>
  <si>
    <t>0101:05-63-17-05</t>
  </si>
  <si>
    <t>0101-1:705-763-33-10</t>
  </si>
  <si>
    <t>0101:018-088</t>
  </si>
  <si>
    <t>006°28'35.9"W</t>
  </si>
  <si>
    <t>042°59'31.5"N</t>
  </si>
  <si>
    <t>ES-LE-1805</t>
  </si>
  <si>
    <t>Carbazal</t>
  </si>
  <si>
    <t>Alto de Carbazal</t>
  </si>
  <si>
    <t>0103:72-60-01-20</t>
  </si>
  <si>
    <t>0103-1:272-760-02-39</t>
  </si>
  <si>
    <t>0103:024-073</t>
  </si>
  <si>
    <t>005°47'46.8"W</t>
  </si>
  <si>
    <t>042°57'55.7"N</t>
  </si>
  <si>
    <t>ES-LE-1818</t>
  </si>
  <si>
    <t>Alto de las ~
Altu de las ~</t>
  </si>
  <si>
    <t>Navariegas
Navariegas</t>
  </si>
  <si>
    <t>Alto de las Navariegas
Altu de las Navariegas</t>
  </si>
  <si>
    <t>0077:38-72-18-10</t>
  </si>
  <si>
    <t>0077-3:738-772-37-20</t>
  </si>
  <si>
    <t>0077:049-036</t>
  </si>
  <si>
    <t>006°04'02.1"W</t>
  </si>
  <si>
    <t>043°03'56.3"N</t>
  </si>
  <si>
    <t>ES-LE-1845</t>
  </si>
  <si>
    <t>Barroso</t>
  </si>
  <si>
    <t>Collado Barroso</t>
  </si>
  <si>
    <t>0076:21-68-03-10</t>
  </si>
  <si>
    <t>0076-4:721-768-06-20</t>
  </si>
  <si>
    <t>0076:095-019</t>
  </si>
  <si>
    <t>006°17'12.5"W</t>
  </si>
  <si>
    <t>043°02'06.0"N</t>
  </si>
  <si>
    <t>ES-LE-1858</t>
  </si>
  <si>
    <t>Colladín</t>
  </si>
  <si>
    <t>Alto del Colladín</t>
  </si>
  <si>
    <t>0229:84-82-07-07</t>
  </si>
  <si>
    <t>0229-1:684-682-15-14</t>
  </si>
  <si>
    <t>0229:037-057</t>
  </si>
  <si>
    <t>ES-OR</t>
  </si>
  <si>
    <t>006°45'57.2"W</t>
  </si>
  <si>
    <t>042°16'10.5"N</t>
  </si>
  <si>
    <t>ES-LE-1877a</t>
  </si>
  <si>
    <t>Alto de la ~
Alto de ~</t>
  </si>
  <si>
    <t>Rigada
Reigada</t>
  </si>
  <si>
    <t>Alto de la Rigada
Alto de Reigada</t>
  </si>
  <si>
    <t>0229:98-75-04-08</t>
  </si>
  <si>
    <t>0229-4:698-675-08-17</t>
  </si>
  <si>
    <t>0229:105-021</t>
  </si>
  <si>
    <t>ES-ZA</t>
  </si>
  <si>
    <t>006°36'02.0"W</t>
  </si>
  <si>
    <t>042°12'14.3"N</t>
  </si>
  <si>
    <t>ES-LO-1257</t>
  </si>
  <si>
    <t>Majano</t>
  </si>
  <si>
    <t>Alto del Majano</t>
  </si>
  <si>
    <t>LO</t>
  </si>
  <si>
    <t>0280:66-61-17-14</t>
  </si>
  <si>
    <t>0280-2:566-661-33-29</t>
  </si>
  <si>
    <t>0280:136-057</t>
  </si>
  <si>
    <t>002°11'35.0"W</t>
  </si>
  <si>
    <t>042°06'10.4"N</t>
  </si>
  <si>
    <t>ES-LU-0809</t>
  </si>
  <si>
    <t>Alto da ~</t>
  </si>
  <si>
    <t>Alto da Cruz</t>
  </si>
  <si>
    <t>LU</t>
  </si>
  <si>
    <t>0023:18-13-15-14</t>
  </si>
  <si>
    <t>0023-2:618-813-30-29</t>
  </si>
  <si>
    <t>0023:130-073</t>
  </si>
  <si>
    <t>007°32'00.5"W</t>
  </si>
  <si>
    <t>043°27'54.2"N</t>
  </si>
  <si>
    <t>ES-LU-0906</t>
  </si>
  <si>
    <t>Avesía</t>
  </si>
  <si>
    <t>Alto de Avesía</t>
  </si>
  <si>
    <t>0023:14-11-04-13</t>
  </si>
  <si>
    <t>0023-2:614-811-08-25</t>
  </si>
  <si>
    <t>0023:107-063</t>
  </si>
  <si>
    <t>007°35'24.6"W</t>
  </si>
  <si>
    <t>043°26'49.0"N</t>
  </si>
  <si>
    <t>ES-LU-1231</t>
  </si>
  <si>
    <t>Pico</t>
  </si>
  <si>
    <t>Alto do Pico</t>
  </si>
  <si>
    <t>0124:48-28-03-03</t>
  </si>
  <si>
    <t>0124-4:648-728-06-05</t>
  </si>
  <si>
    <t>0124:134-013</t>
  </si>
  <si>
    <t>007°11'35.0"W</t>
  </si>
  <si>
    <t>042°41'22.0"N</t>
  </si>
  <si>
    <t>ES-LU-1473</t>
  </si>
  <si>
    <t>Murelos</t>
  </si>
  <si>
    <t>Alto de Murelos</t>
  </si>
  <si>
    <t>0157:54-16-07-05</t>
  </si>
  <si>
    <t>0157-3:654-716-13-11</t>
  </si>
  <si>
    <t>0157:028-045</t>
  </si>
  <si>
    <t>007°07'14.7"W</t>
  </si>
  <si>
    <t>042°34'53.5"N</t>
  </si>
  <si>
    <t>ES-LU-1669</t>
  </si>
  <si>
    <t>Porto de ~</t>
  </si>
  <si>
    <t>Ancares</t>
  </si>
  <si>
    <t>Porto de Ancares</t>
  </si>
  <si>
    <t>0100:78-48-07-15</t>
  </si>
  <si>
    <t>0100-3:678-748-14-30</t>
  </si>
  <si>
    <t>0100:015-020</t>
  </si>
  <si>
    <t>571-D09-037-056</t>
  </si>
  <si>
    <t>Le-Cv-126/13</t>
  </si>
  <si>
    <t>006°49'04.6"W</t>
  </si>
  <si>
    <t>042°52'07.1"N</t>
  </si>
  <si>
    <t>ES-MA-0681</t>
  </si>
  <si>
    <t>Puerto de las ~</t>
  </si>
  <si>
    <t>Guardas</t>
  </si>
  <si>
    <t>Puerto de las Guardas</t>
  </si>
  <si>
    <t>MA</t>
  </si>
  <si>
    <t>1071:98-40-13-00</t>
  </si>
  <si>
    <t>1071-2:298-040-26-00</t>
  </si>
  <si>
    <t>1071:122-083</t>
  </si>
  <si>
    <t>005°14'56.1"W</t>
  </si>
  <si>
    <t>036°28'56.3"N</t>
  </si>
  <si>
    <t>ES-MA-0783</t>
  </si>
  <si>
    <t>Peñones</t>
  </si>
  <si>
    <t>Puerto de los Peñones</t>
  </si>
  <si>
    <t>1064:80-49-08-02</t>
  </si>
  <si>
    <t>1064-3:280-049-16-04</t>
  </si>
  <si>
    <t>1064:030-033</t>
  </si>
  <si>
    <t>005°27'18.6"W</t>
  </si>
  <si>
    <t>036°33'37.0"N</t>
  </si>
  <si>
    <t>ES-MA-1252</t>
  </si>
  <si>
    <t>Gitana</t>
  </si>
  <si>
    <t>Collado de la Gitana</t>
  </si>
  <si>
    <t>1040:05-83-00-10</t>
  </si>
  <si>
    <t>1040-3:405-083-00-19</t>
  </si>
  <si>
    <t>1040:054-032</t>
  </si>
  <si>
    <t>004°04'02.7"W</t>
  </si>
  <si>
    <t>036°53'26.2"N</t>
  </si>
  <si>
    <t>ES-MU-0106a</t>
  </si>
  <si>
    <t>Collado del ~</t>
  </si>
  <si>
    <t>Mojón</t>
  </si>
  <si>
    <t>Collado del Mojón</t>
  </si>
  <si>
    <t>MU</t>
  </si>
  <si>
    <t>0976:58-61-03-09</t>
  </si>
  <si>
    <t>0976-2:658-161-07-17</t>
  </si>
  <si>
    <t>0976:138-047</t>
  </si>
  <si>
    <t>001°12'35.4"W</t>
  </si>
  <si>
    <t>037°35'04.3"N</t>
  </si>
  <si>
    <t>ES-MU-0138</t>
  </si>
  <si>
    <t>Collado de los ~</t>
  </si>
  <si>
    <t>Civiles</t>
  </si>
  <si>
    <t>Collado de los Civiles</t>
  </si>
  <si>
    <t>ES-MU-0721</t>
  </si>
  <si>
    <t>Collados ~</t>
  </si>
  <si>
    <t>Mellizos</t>
  </si>
  <si>
    <t>Collados Mellizos</t>
  </si>
  <si>
    <t>0869:45-49-04-01</t>
  </si>
  <si>
    <t>0869-4:645-249-08-01</t>
  </si>
  <si>
    <t>0869:080-024</t>
  </si>
  <si>
    <t>001°20'20.4"W</t>
  </si>
  <si>
    <t>038°22'33.0"N</t>
  </si>
  <si>
    <t>ES-MU-0810</t>
  </si>
  <si>
    <t>Jumilla</t>
  </si>
  <si>
    <t>Puerto de Jumilla</t>
  </si>
  <si>
    <t>0844:54-71-11-14</t>
  </si>
  <si>
    <t>0844-4:654-271-22-27</t>
  </si>
  <si>
    <t>0844:128-043</t>
  </si>
  <si>
    <t>577-Q26-023-068</t>
  </si>
  <si>
    <t>N-344</t>
  </si>
  <si>
    <t>001°13'37.2"W</t>
  </si>
  <si>
    <t>038°34'41.9"N</t>
  </si>
  <si>
    <t>ES-MU-0853</t>
  </si>
  <si>
    <t>Carretones</t>
  </si>
  <si>
    <t>Puerto de los Carretones</t>
  </si>
  <si>
    <t>ES-MU-0882</t>
  </si>
  <si>
    <t>0952:88-85-08-13</t>
  </si>
  <si>
    <t>0952-2:588-185-16-26</t>
  </si>
  <si>
    <t>0952:084-081</t>
  </si>
  <si>
    <t>001°59'49.5"W</t>
  </si>
  <si>
    <t>037°48'43.9"N</t>
  </si>
  <si>
    <t>ES-NA-0416</t>
  </si>
  <si>
    <t>Portillo del ~</t>
  </si>
  <si>
    <t>Romillo</t>
  </si>
  <si>
    <t>Portillo del Romillo</t>
  </si>
  <si>
    <t>NA</t>
  </si>
  <si>
    <t>0205:86-02-14-08</t>
  </si>
  <si>
    <t>0205-2:586-702-28-17</t>
  </si>
  <si>
    <t>0205:099-074</t>
  </si>
  <si>
    <t>SITNA 51387</t>
  </si>
  <si>
    <t>001°56'48.5"W</t>
  </si>
  <si>
    <t>42°28'02.5"N</t>
  </si>
  <si>
    <t>SITNA</t>
  </si>
  <si>
    <t>ES-NA-0434</t>
  </si>
  <si>
    <t>Portillo de ~
~gaña</t>
  </si>
  <si>
    <t>Mendigaña
Mendi</t>
  </si>
  <si>
    <t>Portillo de Mendigaña
Mendigaña</t>
  </si>
  <si>
    <t>0205:86-03-02-17</t>
  </si>
  <si>
    <t>0205-2:586-703-05-34</t>
  </si>
  <si>
    <t>0205:096-082</t>
  </si>
  <si>
    <t>SITNA 51386</t>
  </si>
  <si>
    <t>001°57'12.7"W</t>
  </si>
  <si>
    <t>42°28'48.9"N</t>
  </si>
  <si>
    <t>ES-NA-0440</t>
  </si>
  <si>
    <t>Portillo de ~
Portillo de ~</t>
  </si>
  <si>
    <t>Carralerín
Carralerin</t>
  </si>
  <si>
    <t>Portillo de Carralerín
Portillo de Carralerin</t>
  </si>
  <si>
    <t>0172:68-12-07-10</t>
  </si>
  <si>
    <t>0172-3:568-712-15-20</t>
  </si>
  <si>
    <t>0172:008-033</t>
  </si>
  <si>
    <t>SITNA 68302</t>
  </si>
  <si>
    <t>002°10'06.4"W</t>
  </si>
  <si>
    <t>42°33'36.3"N</t>
  </si>
  <si>
    <t>ES-NA-0451</t>
  </si>
  <si>
    <t>Portillo de los ~</t>
  </si>
  <si>
    <t>Orceros</t>
  </si>
  <si>
    <t>Portillo de los Orceros</t>
  </si>
  <si>
    <t>0172:68-12-09-14</t>
  </si>
  <si>
    <t>0172-3:568-712-18-29</t>
  </si>
  <si>
    <t>0172:008-034</t>
  </si>
  <si>
    <t>SITNA 68846</t>
  </si>
  <si>
    <t>002°10'03.0"W</t>
  </si>
  <si>
    <t>42°33'42.9"N</t>
  </si>
  <si>
    <t>ES-NA-1020</t>
  </si>
  <si>
    <t>Portillo de las ~
Portillo de las ~
Portilla de las ~</t>
  </si>
  <si>
    <t>Cabras
Iralepo
Cabras</t>
  </si>
  <si>
    <t>Portillo de las Cabras
Portillo de las Iralepo
Portilla de las Cabras</t>
  </si>
  <si>
    <t>0205:89-93-17-00</t>
  </si>
  <si>
    <t>0205-4:589-693-34-01</t>
  </si>
  <si>
    <t>0205:114-027</t>
  </si>
  <si>
    <t>SITNA 46610</t>
  </si>
  <si>
    <t>001°54'35.5"W</t>
  </si>
  <si>
    <t>042°22'56.8"N</t>
  </si>
  <si>
    <t>ES-NA-1165b</t>
  </si>
  <si>
    <t>~ Lepoa
Col de ~
~ Lepoa
Lepoa ~
~-lepoa</t>
  </si>
  <si>
    <t>Mizpiratxarreko
Mizpirachar
Granadako
Mizpiratxarreko
Mizpiracharreco</t>
  </si>
  <si>
    <t>Mizpiratxarreko Lepoa
Col de Mizpirachar
Granadako Lepoa
Lepoa Mizpiratxarreko
Mizpiracharreco-lepoa</t>
  </si>
  <si>
    <t>0091:34-65-06-15</t>
  </si>
  <si>
    <t>0091-4:634-765-12-31</t>
  </si>
  <si>
    <t>0091:068-017</t>
  </si>
  <si>
    <t>AB-630-4765-107-019</t>
  </si>
  <si>
    <t>SITNA 395522</t>
  </si>
  <si>
    <t>FR-64-1155</t>
  </si>
  <si>
    <t>001°21'10.2"W</t>
  </si>
  <si>
    <t>043°01'51.2"N</t>
  </si>
  <si>
    <t>ES-NA-1326</t>
  </si>
  <si>
    <t>Couillade de la ~</t>
  </si>
  <si>
    <t>Jasse de Primevert</t>
  </si>
  <si>
    <t>Couillade de la Jasse de Primevert</t>
  </si>
  <si>
    <t>0219:59-87-18-11</t>
  </si>
  <si>
    <t>0219-3:459-687-37-21</t>
  </si>
  <si>
    <t>0219:014-002</t>
  </si>
  <si>
    <t>FR-66-1328</t>
  </si>
  <si>
    <t>002°30'44.5"E</t>
  </si>
  <si>
    <t>042°20'13.9"N</t>
  </si>
  <si>
    <t>ES-P-1061</t>
  </si>
  <si>
    <t>Costanas</t>
  </si>
  <si>
    <t>Alto de Costanas</t>
  </si>
  <si>
    <t>P</t>
  </si>
  <si>
    <t>0107:84-47-12-18</t>
  </si>
  <si>
    <t>0107-3:384-747-24-36</t>
  </si>
  <si>
    <t>0107:044-022</t>
  </si>
  <si>
    <t>004°24'50.7"W</t>
  </si>
  <si>
    <t>042°52'22.9"N</t>
  </si>
  <si>
    <t>ES-P-1411</t>
  </si>
  <si>
    <t>Pozarión</t>
  </si>
  <si>
    <t>Alto de Pozarión</t>
  </si>
  <si>
    <t>0082:80-64-10-01</t>
  </si>
  <si>
    <t>0082-3:380-764-20-01</t>
  </si>
  <si>
    <t>0082:022-010</t>
  </si>
  <si>
    <t>004°28'04.4"W</t>
  </si>
  <si>
    <t>043°01'03.8"N</t>
  </si>
  <si>
    <t>ES-PM-0173</t>
  </si>
  <si>
    <t>Collet de s'~</t>
  </si>
  <si>
    <t>Argila</t>
  </si>
  <si>
    <t>Collet de s'Argila</t>
  </si>
  <si>
    <t>PM</t>
  </si>
  <si>
    <t>Mallorca</t>
  </si>
  <si>
    <t>ES-PM-0201</t>
  </si>
  <si>
    <t>Coll des ~</t>
  </si>
  <si>
    <t>Morro</t>
  </si>
  <si>
    <t>Coll des Morro</t>
  </si>
  <si>
    <t>0643:84-11-02-18</t>
  </si>
  <si>
    <t>0643-4:484-411-03-36</t>
  </si>
  <si>
    <t>0643:142-012</t>
  </si>
  <si>
    <t>002°48'46.1"E</t>
  </si>
  <si>
    <t>039°51'18.2"N</t>
  </si>
  <si>
    <t>ES-PO-0615</t>
  </si>
  <si>
    <t>Alto das ~</t>
  </si>
  <si>
    <t>Valiñas</t>
  </si>
  <si>
    <t>Alto das Valiñas</t>
  </si>
  <si>
    <t>PO</t>
  </si>
  <si>
    <t>0153:45-16-18-03</t>
  </si>
  <si>
    <t>0153-1:545-716-36-05</t>
  </si>
  <si>
    <t>0153:032-052</t>
  </si>
  <si>
    <t>008°26'31.4"W</t>
  </si>
  <si>
    <t>042°35'39.6"N</t>
  </si>
  <si>
    <t>ES-PO-0632</t>
  </si>
  <si>
    <t>Gabiñeira</t>
  </si>
  <si>
    <t>Alto da Gabiñeira</t>
  </si>
  <si>
    <t>0260-0261:14-57-03-17</t>
  </si>
  <si>
    <t>0261-3:514-657-06-35</t>
  </si>
  <si>
    <t>0260-0261:036-039</t>
  </si>
  <si>
    <t>571-F03-035-020</t>
  </si>
  <si>
    <t>PO-360</t>
  </si>
  <si>
    <t>008°49'49.7"W</t>
  </si>
  <si>
    <t>042°04'15.0"N</t>
  </si>
  <si>
    <t>ES-S-1981</t>
  </si>
  <si>
    <t>Valdeloso</t>
  </si>
  <si>
    <t>Alto de Valdeloso</t>
  </si>
  <si>
    <t>0081:54-71-19-18</t>
  </si>
  <si>
    <t>0081-1:354-771-39-35</t>
  </si>
  <si>
    <t>0081:029-047</t>
  </si>
  <si>
    <t>004°46'59.1"W</t>
  </si>
  <si>
    <t>043°05'02.3"N</t>
  </si>
  <si>
    <t>ES-SO-0885</t>
  </si>
  <si>
    <t>Blanco</t>
  </si>
  <si>
    <t>Collado Blanco</t>
  </si>
  <si>
    <t>SO</t>
  </si>
  <si>
    <t>0435:61-74-04-06</t>
  </si>
  <si>
    <t>0435-2:561-574-08-12</t>
  </si>
  <si>
    <t>0435:105-083</t>
  </si>
  <si>
    <t>575-I23-013-087</t>
  </si>
  <si>
    <t>SO-P-3107</t>
  </si>
  <si>
    <t>002°16'12.9"W</t>
  </si>
  <si>
    <t>41°18'57.2"N</t>
  </si>
  <si>
    <t>MTN25</t>
  </si>
  <si>
    <t>ES-SO-0902</t>
  </si>
  <si>
    <t>Colorada</t>
  </si>
  <si>
    <t>Alto de la Colorada</t>
  </si>
  <si>
    <t>0319:90-36-09-17</t>
  </si>
  <si>
    <t>0319-4:590-636-19-35</t>
  </si>
  <si>
    <t>0319:115-024</t>
  </si>
  <si>
    <t>001°54'39.6"W</t>
  </si>
  <si>
    <t>041°52'36.2"N</t>
  </si>
  <si>
    <t>ES-SO-1155a</t>
  </si>
  <si>
    <t>El Pasillo</t>
  </si>
  <si>
    <t>0435:45-71-10-09</t>
  </si>
  <si>
    <t>0435-1:545-571-19-19</t>
  </si>
  <si>
    <t>0435:026-069</t>
  </si>
  <si>
    <t>002°27'29.2"W</t>
  </si>
  <si>
    <t>41°17'29.3"N</t>
  </si>
  <si>
    <t>ES-T-0050</t>
  </si>
  <si>
    <t>Creus</t>
  </si>
  <si>
    <t>Coll de Creus</t>
  </si>
  <si>
    <t>T</t>
  </si>
  <si>
    <t>0446:65-59-14-00</t>
  </si>
  <si>
    <t>0446-4:365-559-28-00</t>
  </si>
  <si>
    <t>36:65-55-14-80</t>
  </si>
  <si>
    <t>0446:106-002</t>
  </si>
  <si>
    <t>GR-92/R1-2</t>
  </si>
  <si>
    <t>001°23'52.6"E</t>
  </si>
  <si>
    <t>041°10'10.0"N</t>
  </si>
  <si>
    <t>ES-T-0194</t>
  </si>
  <si>
    <t>Coll de les ~</t>
  </si>
  <si>
    <t>Forques</t>
  </si>
  <si>
    <t>Coll de les Forques</t>
  </si>
  <si>
    <t>ES-T-0215</t>
  </si>
  <si>
    <t>Redo</t>
  </si>
  <si>
    <t>Coll Redo</t>
  </si>
  <si>
    <t>0471:92-46-10-09</t>
  </si>
  <si>
    <t>0471-3:292-546-21-19</t>
  </si>
  <si>
    <t>37:90-45-50-29</t>
  </si>
  <si>
    <t>0471:022-023</t>
  </si>
  <si>
    <t>000°31'49.6"E</t>
  </si>
  <si>
    <t>041°02'28.3"N</t>
  </si>
  <si>
    <t>ES-T-0230a</t>
  </si>
  <si>
    <t>Planes</t>
  </si>
  <si>
    <t>Coll de les Planes</t>
  </si>
  <si>
    <t>0471:91-46-10-02</t>
  </si>
  <si>
    <t>0471-3:291-546-20-03</t>
  </si>
  <si>
    <t>37:90-45-30-22</t>
  </si>
  <si>
    <t>0471:017-021</t>
  </si>
  <si>
    <t>000°31'06.4"E</t>
  </si>
  <si>
    <t>041°02'14.7"N</t>
  </si>
  <si>
    <t>ES-T-0235</t>
  </si>
  <si>
    <t>Alt</t>
  </si>
  <si>
    <t>Coll Alt</t>
  </si>
  <si>
    <t>0497:01-34-20-20</t>
  </si>
  <si>
    <t>0497-2:301-534-39-39</t>
  </si>
  <si>
    <t>0497:071-059</t>
  </si>
  <si>
    <t>000°38'47.6"E</t>
  </si>
  <si>
    <t>040°56'24.4"N</t>
  </si>
  <si>
    <t>ES-T-0310b</t>
  </si>
  <si>
    <t>Lo Collet
El Collet</t>
  </si>
  <si>
    <t>0445:36-62-15-09</t>
  </si>
  <si>
    <t>0445-4:336-562-30-19</t>
  </si>
  <si>
    <t>8:35-60-35-49</t>
  </si>
  <si>
    <t>0445:100-016</t>
  </si>
  <si>
    <t>001°03'07.0"E</t>
  </si>
  <si>
    <t>041°11'43.1"N</t>
  </si>
  <si>
    <t>ES-T-0441</t>
  </si>
  <si>
    <t>Coll dels ~</t>
  </si>
  <si>
    <t>Ous</t>
  </si>
  <si>
    <t>Coll dels Ous</t>
  </si>
  <si>
    <t>0445:16-67-17-16</t>
  </si>
  <si>
    <t>0445-3:316-567-34-31</t>
  </si>
  <si>
    <t>29:15-65-37-56</t>
  </si>
  <si>
    <t>0445:000-040</t>
  </si>
  <si>
    <t>574-I32-031-066</t>
  </si>
  <si>
    <t>T-702</t>
  </si>
  <si>
    <t>000°48'48.3"E</t>
  </si>
  <si>
    <t>041°14'19.7"N</t>
  </si>
  <si>
    <t>ES-T-0525a</t>
  </si>
  <si>
    <t>Inglesa</t>
  </si>
  <si>
    <t>Coll de l'Inglesa</t>
  </si>
  <si>
    <t>0445:18-68-16-12</t>
  </si>
  <si>
    <t>0445-3:318-568-31-25</t>
  </si>
  <si>
    <t>29:15-65-76-72</t>
  </si>
  <si>
    <t>0445:010-045</t>
  </si>
  <si>
    <t>000°50'09.8"E</t>
  </si>
  <si>
    <t>041°14'48.7"N</t>
  </si>
  <si>
    <t>ES-T-1185a</t>
  </si>
  <si>
    <t>Navic</t>
  </si>
  <si>
    <t>Coll de Navic</t>
  </si>
  <si>
    <t>0521:69-18-01-05</t>
  </si>
  <si>
    <t>0521-1:269-518-03-09</t>
  </si>
  <si>
    <t>22:65-15-81-65</t>
  </si>
  <si>
    <t>0521:049-063</t>
  </si>
  <si>
    <t>Piolet</t>
  </si>
  <si>
    <t>000°15'43.8"E</t>
  </si>
  <si>
    <t>040°46'50.7"N</t>
  </si>
  <si>
    <t>ES-TE-1050</t>
  </si>
  <si>
    <t>Segura</t>
  </si>
  <si>
    <t>Puerto de Segura</t>
  </si>
  <si>
    <t>TE</t>
  </si>
  <si>
    <t>ES-TE-1457</t>
  </si>
  <si>
    <t>Corral de los Pedros</t>
  </si>
  <si>
    <t>Alto del Corral de los Pedros</t>
  </si>
  <si>
    <t>0613:61-32-04-06</t>
  </si>
  <si>
    <t>0613-3:661-432-07-12</t>
  </si>
  <si>
    <t>0613:032-013</t>
  </si>
  <si>
    <t>Camino de Santa Cruz de Moya</t>
  </si>
  <si>
    <t>ES-V</t>
  </si>
  <si>
    <t>001°06'44.8"W</t>
  </si>
  <si>
    <t>040°01'25.3"N</t>
  </si>
  <si>
    <t>ES-TF-0920</t>
  </si>
  <si>
    <t>Degollada de ~
Gollada de ~</t>
  </si>
  <si>
    <t>Hernía
Ernía</t>
  </si>
  <si>
    <t>Degollada de Hernía
Gollada de Ernía</t>
  </si>
  <si>
    <t>TF</t>
  </si>
  <si>
    <t>La Gomera</t>
  </si>
  <si>
    <t>1095:83-05-10-19</t>
  </si>
  <si>
    <t>1101-2:283-105-19-39</t>
  </si>
  <si>
    <t>1095:105-024</t>
  </si>
  <si>
    <t>Cv-9</t>
  </si>
  <si>
    <t>017°12'11.2"W</t>
  </si>
  <si>
    <t>028°03'41.4"N</t>
  </si>
  <si>
    <t>ES-V-0615</t>
  </si>
  <si>
    <t>El Puerto</t>
  </si>
  <si>
    <t>0932:19-95-06-01</t>
  </si>
  <si>
    <t>0932-4:619-195-12-01</t>
  </si>
  <si>
    <t>0932:092-033</t>
  </si>
  <si>
    <t>577-S25-005-063</t>
  </si>
  <si>
    <t>C-5</t>
  </si>
  <si>
    <t>001°38'40.4"W</t>
  </si>
  <si>
    <t>037°53'35.3"N</t>
  </si>
  <si>
    <t>ES-V-0866</t>
  </si>
  <si>
    <t>Raidón</t>
  </si>
  <si>
    <t>Collado de Raidón</t>
  </si>
  <si>
    <t>V</t>
  </si>
  <si>
    <t>0720:76-74-02-09</t>
  </si>
  <si>
    <t>0720-2:676-374-05-18</t>
  </si>
  <si>
    <t>0720:101-092</t>
  </si>
  <si>
    <t>000°57'10.7"W</t>
  </si>
  <si>
    <t>039°29'59.4"N</t>
  </si>
  <si>
    <t>ES-VI-0576</t>
  </si>
  <si>
    <t>~ gaina
Alto de ~
Alto de ~</t>
  </si>
  <si>
    <t>Bostarratxetako
Bostarracheta
Bostarratxeta</t>
  </si>
  <si>
    <t>Bostarratxetako gaina
Alto de Bostarracheta
Alto de Bostarratxeta</t>
  </si>
  <si>
    <t>VI</t>
  </si>
  <si>
    <t>0086:04-68-11-17</t>
  </si>
  <si>
    <t>0086-4:504-768-23-34</t>
  </si>
  <si>
    <t>0086:099-039</t>
  </si>
  <si>
    <t>002°56'42.5"W</t>
  </si>
  <si>
    <t>043°04'13.5"N</t>
  </si>
  <si>
    <t>ES-VI-0606</t>
  </si>
  <si>
    <t>~ gaina
Alto de ~</t>
  </si>
  <si>
    <t>San Juango
San Juan</t>
  </si>
  <si>
    <t>San Juango gaina
Alto de San Juan</t>
  </si>
  <si>
    <t>0112:32-53-07-01</t>
  </si>
  <si>
    <t>0112-2:532-753-14-02</t>
  </si>
  <si>
    <t>0112:102-052</t>
  </si>
  <si>
    <t>002°36'17.1"W</t>
  </si>
  <si>
    <t>042°55'38.7"N</t>
  </si>
  <si>
    <t>ES-Z-0877</t>
  </si>
  <si>
    <t>Paso del ~</t>
  </si>
  <si>
    <t>Ferrero</t>
  </si>
  <si>
    <t>Paso del Ferrero</t>
  </si>
  <si>
    <t>Z</t>
  </si>
  <si>
    <t>0208:52-98-01-10</t>
  </si>
  <si>
    <t>0208-1:652-698-03-19</t>
  </si>
  <si>
    <t>0208:014-049</t>
  </si>
  <si>
    <t>001°09'10.5"W</t>
  </si>
  <si>
    <t>042°25'18.9"N</t>
  </si>
  <si>
    <t>Code</t>
  </si>
  <si>
    <t>Intitulé</t>
  </si>
  <si>
    <t>Nom</t>
  </si>
  <si>
    <t>Nom complet</t>
  </si>
  <si>
    <t>Province</t>
  </si>
  <si>
    <t>Île</t>
  </si>
  <si>
    <t>Alti</t>
  </si>
  <si>
    <t>Documents</t>
  </si>
  <si>
    <t>SGE50</t>
  </si>
  <si>
    <t>ICC50</t>
  </si>
  <si>
    <t>Provincial</t>
  </si>
  <si>
    <t>Michelin</t>
  </si>
  <si>
    <t>Alpina</t>
  </si>
  <si>
    <t>Kompass</t>
  </si>
  <si>
    <t>Reise Know-How</t>
  </si>
  <si>
    <t>Autre carte</t>
  </si>
  <si>
    <t>Accès</t>
  </si>
  <si>
    <t>Type</t>
  </si>
  <si>
    <t>Diff</t>
  </si>
  <si>
    <t>Exclusions</t>
  </si>
  <si>
    <t>Lim</t>
  </si>
  <si>
    <t>ED50 fuseau</t>
  </si>
  <si>
    <t>ED50 UTM x</t>
  </si>
  <si>
    <t>ED50 UTM y</t>
  </si>
  <si>
    <t>WGS84 fuseau</t>
  </si>
  <si>
    <t>WGS84 UTM x</t>
  </si>
  <si>
    <t>WGS84 UTM y</t>
  </si>
  <si>
    <t>WGS84 Lon D</t>
  </si>
  <si>
    <t>WGS84 Lat D</t>
  </si>
  <si>
    <t>WGS84 Lon S</t>
  </si>
  <si>
    <t>WGS84 Lat S</t>
  </si>
  <si>
    <t>Sources</t>
  </si>
  <si>
    <t>Remarques</t>
  </si>
  <si>
    <t>Statut</t>
  </si>
  <si>
    <t>Remplacé par ES-AL-0516</t>
  </si>
  <si>
    <t>ES-AV-1148</t>
  </si>
  <si>
    <t>Portezuelo de ~</t>
  </si>
  <si>
    <t>Marilucas</t>
  </si>
  <si>
    <t>Portezuelo de Marilucas</t>
  </si>
  <si>
    <t>AV</t>
  </si>
  <si>
    <r>
      <t>0578</t>
    </r>
    <r>
      <rPr>
        <sz val="8"/>
        <rFont val="Arial"/>
        <family val="2"/>
      </rPr>
      <t>:14-52-18-02</t>
    </r>
  </si>
  <si>
    <r>
      <t>0578-3</t>
    </r>
    <r>
      <rPr>
        <sz val="8"/>
        <rFont val="Arial"/>
        <family val="2"/>
      </rPr>
      <t>:314-452-36-05</t>
    </r>
  </si>
  <si>
    <r>
      <t>0578</t>
    </r>
    <r>
      <rPr>
        <sz val="8"/>
        <rFont val="Arial"/>
        <family val="2"/>
      </rPr>
      <t>:005-017</t>
    </r>
  </si>
  <si>
    <t>005°10'33.6"W</t>
  </si>
  <si>
    <t>40°11'49.8"N</t>
  </si>
  <si>
    <t>Doublon avec ES-AV-1008</t>
  </si>
  <si>
    <t>supprimé 2019</t>
  </si>
  <si>
    <t>ES-B-0735</t>
  </si>
  <si>
    <t>Pendis</t>
  </si>
  <si>
    <t>Coll de Pendis</t>
  </si>
  <si>
    <r>
      <t>0294</t>
    </r>
    <r>
      <rPr>
        <sz val="8"/>
        <rFont val="Arial"/>
        <family val="2"/>
      </rPr>
      <t>:54-50-16-11</t>
    </r>
  </si>
  <si>
    <r>
      <t>0294-4</t>
    </r>
    <r>
      <rPr>
        <sz val="8"/>
        <rFont val="Arial"/>
        <family val="2"/>
      </rPr>
      <t>:454-650-31-21</t>
    </r>
  </si>
  <si>
    <r>
      <t>24</t>
    </r>
    <r>
      <rPr>
        <sz val="8"/>
        <rFont val="Arial"/>
        <family val="2"/>
      </rPr>
      <t>:50-50-96-11</t>
    </r>
  </si>
  <si>
    <r>
      <t>0294</t>
    </r>
    <r>
      <rPr>
        <sz val="8"/>
        <rFont val="Arial"/>
        <family val="2"/>
      </rPr>
      <t>:127-002</t>
    </r>
  </si>
  <si>
    <t>002°27'10.0"E</t>
  </si>
  <si>
    <t>42°00'13.0"N</t>
  </si>
  <si>
    <t>ES-B-0817</t>
  </si>
  <si>
    <t>Portell de ~</t>
  </si>
  <si>
    <t>Balà</t>
  </si>
  <si>
    <t>Portell de Balà</t>
  </si>
  <si>
    <r>
      <t>0332</t>
    </r>
    <r>
      <rPr>
        <sz val="8"/>
        <rFont val="Arial"/>
        <family val="2"/>
      </rPr>
      <t>:51-49-08-04</t>
    </r>
  </si>
  <si>
    <r>
      <t>0332-2</t>
    </r>
    <r>
      <rPr>
        <sz val="8"/>
        <rFont val="Arial"/>
        <family val="2"/>
      </rPr>
      <t>:451-649-16-07</t>
    </r>
  </si>
  <si>
    <r>
      <t>24</t>
    </r>
    <r>
      <rPr>
        <sz val="8"/>
        <rFont val="Arial"/>
        <family val="2"/>
      </rPr>
      <t>:50-45-28-84</t>
    </r>
  </si>
  <si>
    <r>
      <t>0332</t>
    </r>
    <r>
      <rPr>
        <sz val="8"/>
        <rFont val="Arial"/>
        <family val="2"/>
      </rPr>
      <t>:111-088</t>
    </r>
  </si>
  <si>
    <t>002°24'43.9"E</t>
  </si>
  <si>
    <t>41°59'28.7"N</t>
  </si>
  <si>
    <t>ES-B-1144</t>
  </si>
  <si>
    <t>Pas de les ~</t>
  </si>
  <si>
    <t>Someres</t>
  </si>
  <si>
    <t>Pas de les Someres</t>
  </si>
  <si>
    <r>
      <t>0254</t>
    </r>
    <r>
      <rPr>
        <sz val="8"/>
        <rFont val="Arial"/>
        <family val="2"/>
      </rPr>
      <t>:96-77-12-03</t>
    </r>
  </si>
  <si>
    <r>
      <t>0254-4</t>
    </r>
    <r>
      <rPr>
        <sz val="8"/>
        <rFont val="Arial"/>
        <family val="2"/>
      </rPr>
      <t>:396-677-24-06</t>
    </r>
  </si>
  <si>
    <r>
      <t>14</t>
    </r>
    <r>
      <rPr>
        <sz val="8"/>
        <rFont val="Arial"/>
        <family val="2"/>
      </rPr>
      <t>:95-75-32-43</t>
    </r>
  </si>
  <si>
    <r>
      <t>0254</t>
    </r>
    <r>
      <rPr>
        <sz val="8"/>
        <rFont val="Arial"/>
        <family val="2"/>
      </rPr>
      <t>:110-040</t>
    </r>
  </si>
  <si>
    <t>HS (S à 30m.)</t>
  </si>
  <si>
    <t>001°44'44.7"E</t>
  </si>
  <si>
    <t>42°14'16.3"N</t>
  </si>
  <si>
    <t>ES-B-1280</t>
  </si>
  <si>
    <t>Collet de l'~</t>
  </si>
  <si>
    <t>Artiga</t>
  </si>
  <si>
    <t>Collet de l'Artiga</t>
  </si>
  <si>
    <r>
      <t>0254</t>
    </r>
    <r>
      <rPr>
        <sz val="8"/>
        <rFont val="Arial"/>
        <family val="2"/>
      </rPr>
      <t>:99-79-12-16</t>
    </r>
  </si>
  <si>
    <r>
      <t>0254-2</t>
    </r>
    <r>
      <rPr>
        <sz val="8"/>
        <rFont val="Arial"/>
        <family val="2"/>
      </rPr>
      <t>:399-679-24-31</t>
    </r>
  </si>
  <si>
    <r>
      <t>14</t>
    </r>
    <r>
      <rPr>
        <sz val="8"/>
        <rFont val="Arial"/>
        <family val="2"/>
      </rPr>
      <t>:95-75-92-96</t>
    </r>
  </si>
  <si>
    <r>
      <t>0254</t>
    </r>
    <r>
      <rPr>
        <sz val="8"/>
        <rFont val="Arial"/>
        <family val="2"/>
      </rPr>
      <t>:125-053</t>
    </r>
  </si>
  <si>
    <t>001°46'53.3"E</t>
  </si>
  <si>
    <t>42°15'42.7"N</t>
  </si>
  <si>
    <t>Remplacé par ES-B-1889 &amp; ES-GI-1874</t>
  </si>
  <si>
    <t>Remplacé par ES-VI-1025</t>
  </si>
  <si>
    <t>Remplacé par ES-SE-0491</t>
  </si>
  <si>
    <t>Remplacé par ES-GC-1826</t>
  </si>
  <si>
    <t>Remplacé par ES-GI-1548</t>
  </si>
  <si>
    <t>ES-GI-1215a</t>
  </si>
  <si>
    <t>Coll de ~
Col du ~</t>
  </si>
  <si>
    <t>Ceret
Puits de la Neige de Las Illas</t>
  </si>
  <si>
    <t>Coll de Ceret
Col du Puits de la Neige de Las Illas</t>
  </si>
  <si>
    <r>
      <t>0219</t>
    </r>
    <r>
      <rPr>
        <sz val="8"/>
        <rFont val="Arial"/>
        <family val="2"/>
      </rPr>
      <t>:80-97-02-05</t>
    </r>
  </si>
  <si>
    <r>
      <t>0219-2</t>
    </r>
    <r>
      <rPr>
        <sz val="8"/>
        <rFont val="Arial"/>
        <family val="2"/>
      </rPr>
      <t>:480-697-03-10</t>
    </r>
  </si>
  <si>
    <r>
      <t>2</t>
    </r>
    <r>
      <rPr>
        <sz val="8"/>
        <rFont val="Arial"/>
        <family val="2"/>
      </rPr>
      <t>:80-95-02-45</t>
    </r>
  </si>
  <si>
    <r>
      <t>0219</t>
    </r>
    <r>
      <rPr>
        <sz val="8"/>
        <rFont val="Arial"/>
        <family val="2"/>
      </rPr>
      <t>:114-051</t>
    </r>
  </si>
  <si>
    <t>FR-66-1220</t>
  </si>
  <si>
    <t>002°45'23.6"E</t>
  </si>
  <si>
    <t>42°25'31.4"N</t>
  </si>
  <si>
    <t>IGN Fr (1950)</t>
  </si>
  <si>
    <t>ES-GI-1328</t>
  </si>
  <si>
    <r>
      <t>0219</t>
    </r>
    <r>
      <rPr>
        <sz val="8"/>
        <rFont val="Arial"/>
        <family val="2"/>
      </rPr>
      <t>:59-87-18-11</t>
    </r>
  </si>
  <si>
    <r>
      <t>0219-3</t>
    </r>
    <r>
      <rPr>
        <sz val="8"/>
        <rFont val="Arial"/>
        <family val="2"/>
      </rPr>
      <t>:459-687-37-21</t>
    </r>
  </si>
  <si>
    <r>
      <t>0219</t>
    </r>
    <r>
      <rPr>
        <sz val="8"/>
        <rFont val="Arial"/>
        <family val="2"/>
      </rPr>
      <t>:014-002</t>
    </r>
  </si>
  <si>
    <t>002°30'44.9"E</t>
  </si>
  <si>
    <t>42°20'14.0"N</t>
  </si>
  <si>
    <t>Chauvot - carte IGN (1950)</t>
  </si>
  <si>
    <t>Remplace ES-NA-1326</t>
  </si>
  <si>
    <t>ES-GI-1377</t>
  </si>
  <si>
    <t>Collet dels ~</t>
  </si>
  <si>
    <t>Contrabandistes</t>
  </si>
  <si>
    <t>Collet dels Contrabandistes</t>
  </si>
  <si>
    <r>
      <t>0218</t>
    </r>
    <r>
      <rPr>
        <sz val="8"/>
        <rFont val="Arial"/>
        <family val="2"/>
      </rPr>
      <t>:56-89-06-15</t>
    </r>
  </si>
  <si>
    <r>
      <t>0218-4</t>
    </r>
    <r>
      <rPr>
        <sz val="8"/>
        <rFont val="Arial"/>
        <family val="2"/>
      </rPr>
      <t>:456-689-12-30</t>
    </r>
  </si>
  <si>
    <r>
      <t>31</t>
    </r>
    <r>
      <rPr>
        <sz val="8"/>
        <rFont val="Arial"/>
        <family val="2"/>
      </rPr>
      <t>:55-85-26-95</t>
    </r>
  </si>
  <si>
    <r>
      <t>0218</t>
    </r>
    <r>
      <rPr>
        <sz val="8"/>
        <rFont val="Arial"/>
        <family val="2"/>
      </rPr>
      <t>:133-013</t>
    </r>
  </si>
  <si>
    <t>FR-66-1377</t>
  </si>
  <si>
    <t>002°28'05.4"E</t>
  </si>
  <si>
    <t>42°21'25.3"N</t>
  </si>
  <si>
    <t>ES-GI-1436</t>
  </si>
  <si>
    <t>Moles</t>
  </si>
  <si>
    <t>Coll de les Moles</t>
  </si>
  <si>
    <r>
      <t>0218</t>
    </r>
    <r>
      <rPr>
        <sz val="8"/>
        <rFont val="Arial"/>
        <family val="2"/>
      </rPr>
      <t>:56-90-02-04</t>
    </r>
  </si>
  <si>
    <r>
      <t>0218-4</t>
    </r>
    <r>
      <rPr>
        <sz val="8"/>
        <rFont val="Arial"/>
        <family val="2"/>
      </rPr>
      <t>:456-690-04-08</t>
    </r>
  </si>
  <si>
    <r>
      <t>31</t>
    </r>
    <r>
      <rPr>
        <sz val="8"/>
        <rFont val="Arial"/>
        <family val="2"/>
      </rPr>
      <t>:55-90-22-04</t>
    </r>
  </si>
  <si>
    <r>
      <t>0218</t>
    </r>
    <r>
      <rPr>
        <sz val="8"/>
        <rFont val="Arial"/>
        <family val="2"/>
      </rPr>
      <t>:132-015</t>
    </r>
  </si>
  <si>
    <t>FR-66-1436</t>
  </si>
  <si>
    <t>002°27'56.6"E</t>
  </si>
  <si>
    <t>42°21'39.2"N</t>
  </si>
  <si>
    <t>Alias d'autres cols existants</t>
  </si>
  <si>
    <t>Remplacé par ES-GI-0948</t>
  </si>
  <si>
    <t>Remplacé par ES-M-1347</t>
  </si>
  <si>
    <t>ES-HU-1634a</t>
  </si>
  <si>
    <t>Causiat</t>
  </si>
  <si>
    <t>Coll de Causiat</t>
  </si>
  <si>
    <r>
      <t>0144</t>
    </r>
    <r>
      <rPr>
        <sz val="8"/>
        <rFont val="Arial"/>
        <family val="2"/>
      </rPr>
      <t>:00-40-15-04</t>
    </r>
  </si>
  <si>
    <r>
      <t>0144-2</t>
    </r>
    <r>
      <rPr>
        <sz val="8"/>
        <rFont val="Arial"/>
        <family val="2"/>
      </rPr>
      <t>:700-740-30-08</t>
    </r>
  </si>
  <si>
    <r>
      <t>0144</t>
    </r>
    <r>
      <rPr>
        <sz val="8"/>
        <rFont val="Arial"/>
        <family val="2"/>
      </rPr>
      <t>:124-070</t>
    </r>
  </si>
  <si>
    <t>GR11</t>
  </si>
  <si>
    <t>FR-64-1630</t>
  </si>
  <si>
    <t>000°32'49.3"W</t>
  </si>
  <si>
    <t>42°47'10.3"N</t>
  </si>
  <si>
    <t>Entièrement en France</t>
  </si>
  <si>
    <t>Remplacé par ES-HU-2428</t>
  </si>
  <si>
    <t>ES-HU-2277</t>
  </si>
  <si>
    <t>Moines</t>
  </si>
  <si>
    <t>Coll des Moines</t>
  </si>
  <si>
    <r>
      <t>0145</t>
    </r>
    <r>
      <rPr>
        <sz val="8"/>
        <rFont val="Arial"/>
        <family val="2"/>
      </rPr>
      <t>:04-44-07-20</t>
    </r>
  </si>
  <si>
    <r>
      <t>0145-1</t>
    </r>
    <r>
      <rPr>
        <sz val="8"/>
        <rFont val="Arial"/>
        <family val="2"/>
      </rPr>
      <t>:704-744-15-40</t>
    </r>
  </si>
  <si>
    <r>
      <t>0145</t>
    </r>
    <r>
      <rPr>
        <sz val="8"/>
        <rFont val="Arial"/>
        <family val="2"/>
      </rPr>
      <t>:008-090</t>
    </r>
  </si>
  <si>
    <t>FR-64-2285</t>
  </si>
  <si>
    <t>000°30'03.7"W</t>
  </si>
  <si>
    <t>42°49'41.9"N</t>
  </si>
  <si>
    <t>ES-HU-2752</t>
  </si>
  <si>
    <t>Passage ~</t>
  </si>
  <si>
    <t>Difficile</t>
  </si>
  <si>
    <t>Passage Difficile</t>
  </si>
  <si>
    <r>
      <t>0147</t>
    </r>
    <r>
      <rPr>
        <sz val="8"/>
        <rFont val="Arial"/>
        <family val="2"/>
      </rPr>
      <t>:75-33-15-03</t>
    </r>
  </si>
  <si>
    <r>
      <t>0147-3</t>
    </r>
    <r>
      <rPr>
        <sz val="8"/>
        <rFont val="Arial"/>
        <family val="2"/>
      </rPr>
      <t>:275-733-30-06</t>
    </r>
  </si>
  <si>
    <r>
      <t>0147</t>
    </r>
    <r>
      <rPr>
        <sz val="8"/>
        <rFont val="Arial"/>
        <family val="2"/>
      </rPr>
      <t>:047-027</t>
    </r>
  </si>
  <si>
    <t>FR-65-2752</t>
  </si>
  <si>
    <t>000°15'37.1"E</t>
  </si>
  <si>
    <t>42°42'56.3"N</t>
  </si>
  <si>
    <t>Chauvot - pas de source fournie</t>
  </si>
  <si>
    <t>ES-HU-3134</t>
  </si>
  <si>
    <t>Gato</t>
  </si>
  <si>
    <t>Paso del Gato</t>
  </si>
  <si>
    <r>
      <t>0146</t>
    </r>
    <r>
      <rPr>
        <sz val="8"/>
        <rFont val="Arial"/>
        <family val="2"/>
      </rPr>
      <t>:65-33-05-07</t>
    </r>
  </si>
  <si>
    <r>
      <t>0146-4</t>
    </r>
    <r>
      <rPr>
        <sz val="8"/>
        <rFont val="Arial"/>
        <family val="2"/>
      </rPr>
      <t>:265-733-10-15</t>
    </r>
  </si>
  <si>
    <r>
      <t>0146</t>
    </r>
    <r>
      <rPr>
        <sz val="8"/>
        <rFont val="Arial"/>
        <family val="2"/>
      </rPr>
      <t>:131-027</t>
    </r>
  </si>
  <si>
    <t>FR-65-2935a</t>
  </si>
  <si>
    <t>000°07'56.0"E</t>
  </si>
  <si>
    <t>42°42'54.4"N</t>
  </si>
  <si>
    <t>Frontalier mais n'est pas un col topographique</t>
  </si>
  <si>
    <t>ES-L-0476</t>
  </si>
  <si>
    <t>Coll del ~</t>
  </si>
  <si>
    <t>Guix</t>
  </si>
  <si>
    <t>Coll del Guix</t>
  </si>
  <si>
    <r>
      <t>0417</t>
    </r>
    <r>
      <rPr>
        <sz val="8"/>
        <rFont val="Arial"/>
        <family val="2"/>
      </rPr>
      <t>:20-87-17-13</t>
    </r>
  </si>
  <si>
    <r>
      <t>0417-1</t>
    </r>
    <r>
      <rPr>
        <sz val="8"/>
        <rFont val="Arial"/>
        <family val="2"/>
      </rPr>
      <t>:320-587-35-26</t>
    </r>
  </si>
  <si>
    <r>
      <t>18</t>
    </r>
    <r>
      <rPr>
        <sz val="8"/>
        <rFont val="Arial"/>
        <family val="2"/>
      </rPr>
      <t>:20-85-17-53</t>
    </r>
  </si>
  <si>
    <r>
      <t>0417</t>
    </r>
    <r>
      <rPr>
        <sz val="8"/>
        <rFont val="Arial"/>
        <family val="2"/>
      </rPr>
      <t>:018-047</t>
    </r>
  </si>
  <si>
    <t>000°51'19.2"E</t>
  </si>
  <si>
    <t>41°25'06.7"N</t>
  </si>
  <si>
    <t>ES-LE-1421a</t>
  </si>
  <si>
    <t>Ojea</t>
  </si>
  <si>
    <t>Collado Ojea</t>
  </si>
  <si>
    <r>
      <t>0081</t>
    </r>
    <r>
      <rPr>
        <sz val="8"/>
        <rFont val="Arial"/>
        <family val="2"/>
      </rPr>
      <t>:72-68-04-11</t>
    </r>
  </si>
  <si>
    <r>
      <t>0081-4</t>
    </r>
    <r>
      <rPr>
        <sz val="8"/>
        <rFont val="Arial"/>
        <family val="2"/>
      </rPr>
      <t>:372-768-09-22</t>
    </r>
  </si>
  <si>
    <r>
      <t>0081</t>
    </r>
    <r>
      <rPr>
        <sz val="8"/>
        <rFont val="Arial"/>
        <family val="2"/>
      </rPr>
      <t>:116-032</t>
    </r>
  </si>
  <si>
    <t>004°34'13.6"W</t>
  </si>
  <si>
    <t>43°03'25.3"N</t>
  </si>
  <si>
    <t>Remplacé par ES-S-1421a</t>
  </si>
  <si>
    <t>Remplacé par ES-P-1617</t>
  </si>
  <si>
    <t>ES-NA-0745</t>
  </si>
  <si>
    <t>Col d'~</t>
  </si>
  <si>
    <t>Esnazu</t>
  </si>
  <si>
    <t>Col d'Esnazu</t>
  </si>
  <si>
    <r>
      <t>0091</t>
    </r>
    <r>
      <rPr>
        <sz val="8"/>
        <rFont val="Arial"/>
        <family val="2"/>
      </rPr>
      <t>:26-68-01-18</t>
    </r>
  </si>
  <si>
    <r>
      <t>0091-3</t>
    </r>
    <r>
      <rPr>
        <sz val="8"/>
        <rFont val="Arial"/>
        <family val="2"/>
      </rPr>
      <t>:626-768-02-35</t>
    </r>
  </si>
  <si>
    <r>
      <t>0091</t>
    </r>
    <r>
      <rPr>
        <sz val="8"/>
        <rFont val="Arial"/>
        <family val="2"/>
      </rPr>
      <t>:028-033</t>
    </r>
  </si>
  <si>
    <r>
      <t>573</t>
    </r>
    <r>
      <rPr>
        <sz val="8"/>
        <rFont val="Arial"/>
        <family val="2"/>
      </rPr>
      <t>-C25-069-027</t>
    </r>
  </si>
  <si>
    <t>N-138</t>
  </si>
  <si>
    <t>FR-64-0755</t>
  </si>
  <si>
    <t>ES-NA-0965a</t>
  </si>
  <si>
    <t>~ Lepoa</t>
  </si>
  <si>
    <t>Ichtauzko</t>
  </si>
  <si>
    <t>Ichtauzko Lepoa</t>
  </si>
  <si>
    <r>
      <t>0091</t>
    </r>
    <r>
      <rPr>
        <sz val="8"/>
        <rFont val="Arial"/>
        <family val="2"/>
      </rPr>
      <t>:29-77-02-09</t>
    </r>
  </si>
  <si>
    <r>
      <t>0091-1</t>
    </r>
    <r>
      <rPr>
        <sz val="8"/>
        <rFont val="Arial"/>
        <family val="2"/>
      </rPr>
      <t>:629-777-04-19</t>
    </r>
  </si>
  <si>
    <r>
      <t>0091</t>
    </r>
    <r>
      <rPr>
        <sz val="8"/>
        <rFont val="Arial"/>
        <family val="2"/>
      </rPr>
      <t>:042-077</t>
    </r>
  </si>
  <si>
    <r>
      <t>AB</t>
    </r>
    <r>
      <rPr>
        <sz val="8"/>
        <rFont val="Arial"/>
        <family val="2"/>
      </rPr>
      <t>-625-4775-101-059</t>
    </r>
  </si>
  <si>
    <t>R1</t>
  </si>
  <si>
    <t>FR-64-0965b</t>
  </si>
  <si>
    <t>001°24'50.5"W</t>
  </si>
  <si>
    <t>43°08'13.3"N</t>
  </si>
  <si>
    <t>Remplacé par ES-NA-0417</t>
  </si>
  <si>
    <t>Remplacé par ES-GI-1328</t>
  </si>
  <si>
    <t>ES-NA-1498</t>
  </si>
  <si>
    <t>Portillo de ~</t>
  </si>
  <si>
    <t>Larregorri</t>
  </si>
  <si>
    <t>Portillo de Larregorri</t>
  </si>
  <si>
    <r>
      <t>0117</t>
    </r>
    <r>
      <rPr>
        <sz val="8"/>
        <rFont val="Arial"/>
        <family val="2"/>
      </rPr>
      <t>:74-57-16-17</t>
    </r>
  </si>
  <si>
    <r>
      <t>0117-2</t>
    </r>
    <r>
      <rPr>
        <sz val="8"/>
        <rFont val="Arial"/>
        <family val="2"/>
      </rPr>
      <t>:674-757-33-34</t>
    </r>
  </si>
  <si>
    <r>
      <t>0117</t>
    </r>
    <r>
      <rPr>
        <sz val="8"/>
        <rFont val="Arial"/>
        <family val="2"/>
      </rPr>
      <t>:135-065</t>
    </r>
  </si>
  <si>
    <t>FR</t>
  </si>
  <si>
    <t>000°51'29.4"W</t>
  </si>
  <si>
    <t>42°57'04.7"N</t>
  </si>
  <si>
    <t>ES-OR-0479</t>
  </si>
  <si>
    <t>Carpazal</t>
  </si>
  <si>
    <t>Alto do Carpazal</t>
  </si>
  <si>
    <t>OR</t>
  </si>
  <si>
    <r>
      <t>0225</t>
    </r>
    <r>
      <rPr>
        <sz val="8"/>
        <rFont val="Arial"/>
        <family val="2"/>
      </rPr>
      <t>:88-84-09-18</t>
    </r>
  </si>
  <si>
    <r>
      <t>0225-2</t>
    </r>
    <r>
      <rPr>
        <sz val="8"/>
        <rFont val="Arial"/>
        <family val="2"/>
      </rPr>
      <t>:588-684-18-35</t>
    </r>
  </si>
  <si>
    <r>
      <t>0225</t>
    </r>
    <r>
      <rPr>
        <sz val="8"/>
        <rFont val="Arial"/>
        <family val="2"/>
      </rPr>
      <t>:107-079</t>
    </r>
  </si>
  <si>
    <t>007°55'41.4"W</t>
  </si>
  <si>
    <t>42°18'33.2"N</t>
  </si>
  <si>
    <t>ES-OR-0824</t>
  </si>
  <si>
    <t>Porto dos ~</t>
  </si>
  <si>
    <t>Carros</t>
  </si>
  <si>
    <t>Porto dos Carros</t>
  </si>
  <si>
    <r>
      <t>0189</t>
    </r>
    <r>
      <rPr>
        <sz val="8"/>
        <rFont val="Arial"/>
        <family val="2"/>
      </rPr>
      <t>:30-89-02-08</t>
    </r>
  </si>
  <si>
    <r>
      <t>0189-3</t>
    </r>
    <r>
      <rPr>
        <sz val="8"/>
        <rFont val="Arial"/>
        <family val="2"/>
      </rPr>
      <t>:630-689-03-16</t>
    </r>
  </si>
  <si>
    <r>
      <t>0189</t>
    </r>
    <r>
      <rPr>
        <sz val="8"/>
        <rFont val="Arial"/>
        <family val="2"/>
      </rPr>
      <t>:041-006</t>
    </r>
  </si>
  <si>
    <r>
      <t>571</t>
    </r>
    <r>
      <rPr>
        <sz val="8"/>
        <rFont val="Arial"/>
        <family val="2"/>
      </rPr>
      <t>-E07-050-003</t>
    </r>
  </si>
  <si>
    <t>007°25'20.5"W</t>
  </si>
  <si>
    <t>42°20'38.5"N</t>
  </si>
  <si>
    <t>ES-OR-0859</t>
  </si>
  <si>
    <t>Mazorra</t>
  </si>
  <si>
    <t>Alto de Mazorra</t>
  </si>
  <si>
    <r>
      <t>0263</t>
    </r>
    <r>
      <rPr>
        <sz val="8"/>
        <rFont val="Arial"/>
        <family val="2"/>
      </rPr>
      <t>:86-52-15-06</t>
    </r>
  </si>
  <si>
    <r>
      <t>0263-4</t>
    </r>
    <r>
      <rPr>
        <sz val="8"/>
        <rFont val="Arial"/>
        <family val="2"/>
      </rPr>
      <t>:586-652-30-12</t>
    </r>
  </si>
  <si>
    <r>
      <t>0263</t>
    </r>
    <r>
      <rPr>
        <sz val="8"/>
        <rFont val="Arial"/>
        <family val="2"/>
      </rPr>
      <t>:097-009</t>
    </r>
  </si>
  <si>
    <r>
      <t>571</t>
    </r>
    <r>
      <rPr>
        <sz val="8"/>
        <rFont val="Arial"/>
        <family val="2"/>
      </rPr>
      <t>-F06-010-005</t>
    </r>
  </si>
  <si>
    <t>Ou-301</t>
  </si>
  <si>
    <t>007°57'13.2"W</t>
  </si>
  <si>
    <t>42°00'57.7"N</t>
  </si>
  <si>
    <t>ES-PO-0495</t>
  </si>
  <si>
    <t>Porta ~</t>
  </si>
  <si>
    <t>Cidrade</t>
  </si>
  <si>
    <t>Porta Cidrade</t>
  </si>
  <si>
    <r>
      <t>0153</t>
    </r>
    <r>
      <rPr>
        <sz val="8"/>
        <rFont val="Arial"/>
        <family val="2"/>
      </rPr>
      <t>:64-17-12-09</t>
    </r>
  </si>
  <si>
    <r>
      <t>0153-2</t>
    </r>
    <r>
      <rPr>
        <sz val="8"/>
        <rFont val="Arial"/>
        <family val="2"/>
      </rPr>
      <t>:564-717-23-17</t>
    </r>
  </si>
  <si>
    <r>
      <t>0153</t>
    </r>
    <r>
      <rPr>
        <sz val="8"/>
        <rFont val="Arial"/>
        <family val="2"/>
      </rPr>
      <t>:126-058</t>
    </r>
  </si>
  <si>
    <r>
      <t>571</t>
    </r>
    <r>
      <rPr>
        <sz val="8"/>
        <rFont val="Arial"/>
        <family val="2"/>
      </rPr>
      <t>-E05-025-075</t>
    </r>
  </si>
  <si>
    <t>008°12'51.0"W</t>
  </si>
  <si>
    <t>42°36'17.1"N</t>
  </si>
  <si>
    <t>ES-PO-0679</t>
  </si>
  <si>
    <t>A Portela</t>
  </si>
  <si>
    <r>
      <t>0154</t>
    </r>
    <r>
      <rPr>
        <sz val="8"/>
        <rFont val="Arial"/>
        <family val="2"/>
      </rPr>
      <t>:79-16-10-19</t>
    </r>
  </si>
  <si>
    <r>
      <t>0154-1</t>
    </r>
    <r>
      <rPr>
        <sz val="8"/>
        <rFont val="Arial"/>
        <family val="2"/>
      </rPr>
      <t>:579-716-21-38</t>
    </r>
  </si>
  <si>
    <r>
      <t>0154</t>
    </r>
    <r>
      <rPr>
        <sz val="8"/>
        <rFont val="Arial"/>
        <family val="2"/>
      </rPr>
      <t>:064-055</t>
    </r>
  </si>
  <si>
    <t>008°01'56.1"W</t>
  </si>
  <si>
    <t>42°35'56.5"N</t>
  </si>
  <si>
    <t>ES-PO-0755</t>
  </si>
  <si>
    <t>Croio</t>
  </si>
  <si>
    <t>Alto do Croio</t>
  </si>
  <si>
    <r>
      <t>0154</t>
    </r>
    <r>
      <rPr>
        <sz val="8"/>
        <rFont val="Arial"/>
        <family val="2"/>
      </rPr>
      <t>:80-18-16-14</t>
    </r>
  </si>
  <si>
    <r>
      <t>0154-2</t>
    </r>
    <r>
      <rPr>
        <sz val="8"/>
        <rFont val="Arial"/>
        <family val="2"/>
      </rPr>
      <t>:580-718-33-29</t>
    </r>
  </si>
  <si>
    <r>
      <t>0154</t>
    </r>
    <r>
      <rPr>
        <sz val="8"/>
        <rFont val="Arial"/>
        <family val="2"/>
      </rPr>
      <t>:071-064</t>
    </r>
  </si>
  <si>
    <t>008°00'57.8"W</t>
  </si>
  <si>
    <t>42°36'53.0"N</t>
  </si>
  <si>
    <t>ES-T-0326</t>
  </si>
  <si>
    <t>Llumaners</t>
  </si>
  <si>
    <t>Coll de Llumaners</t>
  </si>
  <si>
    <r>
      <t>0497</t>
    </r>
    <r>
      <rPr>
        <sz val="8"/>
        <rFont val="Arial"/>
        <family val="2"/>
      </rPr>
      <t>:92-37-17-12</t>
    </r>
  </si>
  <si>
    <r>
      <t>0497-1</t>
    </r>
    <r>
      <rPr>
        <sz val="8"/>
        <rFont val="Arial"/>
        <family val="2"/>
      </rPr>
      <t>:292-537-34-25</t>
    </r>
  </si>
  <si>
    <r>
      <t>9</t>
    </r>
    <r>
      <rPr>
        <sz val="8"/>
        <rFont val="Arial"/>
        <family val="2"/>
      </rPr>
      <t>:90-35-57-52</t>
    </r>
  </si>
  <si>
    <r>
      <t>0497</t>
    </r>
    <r>
      <rPr>
        <sz val="8"/>
        <rFont val="Arial"/>
        <family val="2"/>
      </rPr>
      <t>:024-071</t>
    </r>
  </si>
  <si>
    <t>000°32'13.8"E</t>
  </si>
  <si>
    <t>40°57'41.9"N</t>
  </si>
  <si>
    <t>Remplacé par ES-TF-0520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</si>
</sst>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00000"/>
    <numFmt numFmtId="181" formatCode="0.00000"/>
    <numFmt numFmtId="182" formatCode="&quot;€&quot;#,##0_);\(&quot;€&quot;#,##0\)"/>
    <numFmt numFmtId="183" formatCode="&quot;€&quot;#,##0_);[Red]\(&quot;€&quot;#,##0\)"/>
    <numFmt numFmtId="184" formatCode="&quot;€&quot;#,##0.00_);\(&quot;€&quot;#,##0.00\)"/>
    <numFmt numFmtId="185" formatCode="&quot;€&quot;#,##0.00_);[Red]\(&quot;€&quot;#,##0.00\)"/>
    <numFmt numFmtId="186" formatCode="_(&quot;€&quot;* #,##0_);_(&quot;€&quot;* \(#,##0\);_(&quot;€&quot;* &quot;-&quot;_);_(@_)"/>
    <numFmt numFmtId="187" formatCode="_(* #,##0_);_(* \(#,##0\);_(* &quot;-&quot;_);_(@_)"/>
    <numFmt numFmtId="188" formatCode="_(&quot;€&quot;* #,##0.00_);_(&quot;€&quot;* \(#,##0.00\);_(&quot;€&quot;* &quot;-&quot;??_);_(@_)"/>
    <numFmt numFmtId="189" formatCode="_(* #,##0.00_);_(* \(#,##0.00\);_(* &quot;-&quot;??_);_(@_)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€&quot;\ #,##0_);\(&quot;€&quot;\ #,##0\)"/>
    <numFmt numFmtId="197" formatCode="&quot;€&quot;\ #,##0_);[Red]\(&quot;€&quot;\ #,##0\)"/>
    <numFmt numFmtId="198" formatCode="&quot;€&quot;\ #,##0.00_);\(&quot;€&quot;\ #,##0.00\)"/>
    <numFmt numFmtId="199" formatCode="&quot;€&quot;\ #,##0.00_);[Red]\(&quot;€&quot;\ #,##0.00\)"/>
    <numFmt numFmtId="200" formatCode="_(&quot;€&quot;\ * #,##0_);_(&quot;€&quot;\ * \(#,##0\);_(&quot;€&quot;\ * &quot;-&quot;_);_(@_)"/>
    <numFmt numFmtId="201" formatCode="_(&quot;€&quot;\ * #,##0.00_);_(&quot;€&quot;\ * \(#,##0.00\);_(&quot;€&quot;\ * &quot;-&quot;??_);_(@_)"/>
    <numFmt numFmtId="202" formatCode="0.0000"/>
    <numFmt numFmtId="203" formatCode="&quot;Vrai&quot;;&quot;Vrai&quot;;&quot;Faux&quot;"/>
    <numFmt numFmtId="204" formatCode="&quot;Actif&quot;;&quot;Actif&quot;;&quot;Inactif&quot;"/>
    <numFmt numFmtId="205" formatCode="0.000"/>
    <numFmt numFmtId="206" formatCode="0.0"/>
    <numFmt numFmtId="207" formatCode="0#####"/>
    <numFmt numFmtId="208" formatCode="&quot;0#####&quot;"/>
    <numFmt numFmtId="209" formatCode="000\ 000"/>
    <numFmt numFmtId="210" formatCode="0000\ 000"/>
  </numFmts>
  <fonts count="44"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12"/>
      <name val="Arial"/>
      <family val="2"/>
    </font>
    <font>
      <sz val="8"/>
      <color indexed="36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8"/>
      <color indexed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 applyNumberFormat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2" fillId="0" borderId="0" applyNumberFormat="0" applyAlignment="0" applyProtection="0"/>
    <xf numFmtId="0" fontId="3" fillId="0" borderId="0" applyNumberFormat="0" applyAlignment="0" applyProtection="0"/>
    <xf numFmtId="0" fontId="34" fillId="30" borderId="0" applyNumberFormat="0" applyBorder="0" applyAlignment="0" applyProtection="0"/>
    <xf numFmtId="0" fontId="26" fillId="0" borderId="0">
      <alignment/>
      <protection/>
    </xf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32" borderId="5" applyNumberFormat="0" applyProtection="0">
      <alignment horizontal="center" vertical="center" wrapText="1"/>
    </xf>
    <xf numFmtId="0" fontId="4" fillId="33" borderId="5" applyNumberFormat="0" applyProtection="0">
      <alignment horizontal="center" vertical="center" wrapText="1"/>
    </xf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4" borderId="10" applyNumberFormat="0" applyAlignment="0" applyProtection="0"/>
  </cellStyleXfs>
  <cellXfs count="44">
    <xf numFmtId="0" fontId="0" fillId="0" borderId="0" xfId="0" applyAlignment="1">
      <alignment vertical="center"/>
    </xf>
    <xf numFmtId="49" fontId="4" fillId="33" borderId="5" xfId="54" applyNumberFormat="1" applyAlignment="1" applyProtection="1">
      <alignment horizontal="center" vertical="center" wrapText="1"/>
      <protection locked="0"/>
    </xf>
    <xf numFmtId="49" fontId="4" fillId="32" borderId="5" xfId="53" applyNumberFormat="1" applyAlignment="1" applyProtection="1">
      <alignment horizontal="center" vertical="center" wrapText="1"/>
      <protection locked="0"/>
    </xf>
    <xf numFmtId="49" fontId="4" fillId="33" borderId="5" xfId="54" applyNumberForma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right" vertical="center"/>
    </xf>
    <xf numFmtId="0" fontId="2" fillId="0" borderId="0" xfId="45" applyAlignment="1" applyProtection="1">
      <alignment horizontal="center" vertical="center"/>
      <protection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181" fontId="0" fillId="0" borderId="0" xfId="0" applyNumberForma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2" fillId="0" borderId="0" xfId="45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181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45" applyNumberFormat="1" applyAlignment="1" applyProtection="1">
      <alignment horizontal="center" vertical="center"/>
      <protection locked="0"/>
    </xf>
    <xf numFmtId="0" fontId="2" fillId="0" borderId="0" xfId="45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181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1" fontId="0" fillId="0" borderId="0" xfId="0" applyNumberFormat="1" applyAlignment="1" applyProtection="1">
      <alignment horizontal="right" vertical="center"/>
      <protection locked="0"/>
    </xf>
    <xf numFmtId="180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48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4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45" applyNumberForma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Neutre" xfId="47"/>
    <cellStyle name="Normal_Feuil1" xfId="48"/>
    <cellStyle name="Satisfaisant" xfId="49"/>
    <cellStyle name="Sortie" xfId="50"/>
    <cellStyle name="Texte explicatif" xfId="51"/>
    <cellStyle name="Titre" xfId="52"/>
    <cellStyle name="Titre spécial" xfId="53"/>
    <cellStyle name="Titre standard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16015625" defaultRowHeight="11.25"/>
  <cols>
    <col min="1" max="1" width="12.33203125" style="5" bestFit="1" customWidth="1"/>
    <col min="2" max="2" width="20.83203125" style="6" customWidth="1"/>
    <col min="3" max="3" width="35.83203125" style="6" customWidth="1"/>
    <col min="4" max="4" width="45.83203125" style="6" customWidth="1"/>
    <col min="5" max="5" width="8.83203125" style="5" customWidth="1"/>
    <col min="6" max="6" width="19.83203125" style="5" customWidth="1"/>
    <col min="7" max="7" width="5.83203125" style="17" customWidth="1"/>
    <col min="8" max="8" width="12.83203125" style="27" customWidth="1"/>
    <col min="9" max="9" width="20.83203125" style="5" customWidth="1"/>
    <col min="10" max="10" width="20.83203125" style="4" customWidth="1"/>
    <col min="11" max="11" width="12.83203125" style="5" customWidth="1"/>
    <col min="12" max="12" width="17.83203125" style="5" customWidth="1"/>
    <col min="13" max="13" width="15.83203125" style="4" customWidth="1"/>
    <col min="14" max="14" width="20.83203125" style="12" customWidth="1"/>
    <col min="15" max="15" width="10.83203125" style="28" customWidth="1"/>
    <col min="16" max="16" width="8.83203125" style="28" customWidth="1"/>
    <col min="17" max="17" width="20.83203125" style="12" customWidth="1"/>
    <col min="18" max="18" width="24.83203125" style="28" customWidth="1"/>
    <col min="19" max="19" width="5.83203125" style="28" customWidth="1"/>
    <col min="20" max="20" width="4.83203125" style="7" customWidth="1"/>
    <col min="21" max="21" width="11.83203125" style="7" customWidth="1"/>
    <col min="22" max="22" width="11.83203125" style="29" customWidth="1"/>
    <col min="23" max="23" width="7.83203125" style="29" bestFit="1" customWidth="1"/>
    <col min="24" max="25" width="9.83203125" style="5" customWidth="1"/>
    <col min="26" max="26" width="7.83203125" style="5" customWidth="1"/>
    <col min="27" max="28" width="9.83203125" style="5" customWidth="1"/>
    <col min="29" max="30" width="9.83203125" style="30" customWidth="1"/>
    <col min="31" max="32" width="12.83203125" style="5" customWidth="1"/>
    <col min="33" max="33" width="20.83203125" style="4" customWidth="1"/>
    <col min="34" max="34" width="45.83203125" style="5" customWidth="1"/>
    <col min="35" max="35" width="12.83203125" style="31" customWidth="1"/>
    <col min="36" max="36" width="60.83203125" style="5" customWidth="1"/>
    <col min="37" max="16384" width="8.16015625" style="5" customWidth="1"/>
  </cols>
  <sheetData>
    <row r="1" spans="1:36" s="4" customFormat="1" ht="33.75">
      <c r="A1" s="1" t="s">
        <v>1126</v>
      </c>
      <c r="B1" s="1" t="s">
        <v>1127</v>
      </c>
      <c r="C1" s="1" t="s">
        <v>1128</v>
      </c>
      <c r="D1" s="1" t="s">
        <v>1129</v>
      </c>
      <c r="E1" s="2" t="s">
        <v>1130</v>
      </c>
      <c r="F1" s="2" t="s">
        <v>1131</v>
      </c>
      <c r="G1" s="1" t="s">
        <v>1132</v>
      </c>
      <c r="H1" s="1" t="s">
        <v>1133</v>
      </c>
      <c r="I1" s="2" t="s">
        <v>1134</v>
      </c>
      <c r="J1" s="2" t="s">
        <v>957</v>
      </c>
      <c r="K1" s="2" t="s">
        <v>1135</v>
      </c>
      <c r="L1" s="2" t="s">
        <v>1136</v>
      </c>
      <c r="M1" s="2" t="s">
        <v>1137</v>
      </c>
      <c r="N1" s="2" t="s">
        <v>1138</v>
      </c>
      <c r="O1" s="2" t="s">
        <v>1139</v>
      </c>
      <c r="P1" s="2" t="s">
        <v>1140</v>
      </c>
      <c r="Q1" s="2" t="s">
        <v>1141</v>
      </c>
      <c r="R1" s="1" t="s">
        <v>1142</v>
      </c>
      <c r="S1" s="1" t="s">
        <v>1143</v>
      </c>
      <c r="T1" s="1" t="s">
        <v>1144</v>
      </c>
      <c r="U1" s="1" t="s">
        <v>1145</v>
      </c>
      <c r="V1" s="1" t="s">
        <v>1146</v>
      </c>
      <c r="W1" s="2" t="s">
        <v>1147</v>
      </c>
      <c r="X1" s="2" t="s">
        <v>1148</v>
      </c>
      <c r="Y1" s="2" t="s">
        <v>1149</v>
      </c>
      <c r="Z1" s="1" t="s">
        <v>1150</v>
      </c>
      <c r="AA1" s="1" t="s">
        <v>1151</v>
      </c>
      <c r="AB1" s="1" t="s">
        <v>1152</v>
      </c>
      <c r="AC1" s="1" t="s">
        <v>1153</v>
      </c>
      <c r="AD1" s="1" t="s">
        <v>1154</v>
      </c>
      <c r="AE1" s="1" t="s">
        <v>1155</v>
      </c>
      <c r="AF1" s="1" t="s">
        <v>1156</v>
      </c>
      <c r="AG1" s="1" t="s">
        <v>1157</v>
      </c>
      <c r="AH1" s="1" t="s">
        <v>1158</v>
      </c>
      <c r="AI1" s="1" t="s">
        <v>1159</v>
      </c>
      <c r="AJ1" s="3" t="s">
        <v>0</v>
      </c>
    </row>
    <row r="2" spans="1:35" ht="11.25">
      <c r="A2" s="5" t="s">
        <v>1</v>
      </c>
      <c r="B2" s="6" t="s">
        <v>2</v>
      </c>
      <c r="C2" s="6" t="s">
        <v>3</v>
      </c>
      <c r="D2" s="6" t="s">
        <v>3</v>
      </c>
      <c r="E2" s="7" t="s">
        <v>4</v>
      </c>
      <c r="G2" s="8">
        <v>763</v>
      </c>
      <c r="H2" s="9" t="str">
        <f>HYPERLINK("http://www.centcols.org/util/geo/visuGen.php?code=ES-AB-0763","ES-AB-0763")</f>
        <v>ES-AB-0763</v>
      </c>
      <c r="I2" s="7" t="s">
        <v>5</v>
      </c>
      <c r="J2" s="7" t="s">
        <v>6</v>
      </c>
      <c r="K2" s="7"/>
      <c r="L2" s="4" t="s">
        <v>7</v>
      </c>
      <c r="M2" s="4" t="s">
        <v>8</v>
      </c>
      <c r="N2" s="7"/>
      <c r="O2" s="7"/>
      <c r="P2" s="7"/>
      <c r="Q2" s="10"/>
      <c r="R2" s="11" t="s">
        <v>9</v>
      </c>
      <c r="S2" s="12">
        <v>0</v>
      </c>
      <c r="T2" s="12">
        <v>0</v>
      </c>
      <c r="U2" s="12"/>
      <c r="V2" s="7"/>
      <c r="W2" s="12">
        <v>30</v>
      </c>
      <c r="X2" s="12">
        <v>650640</v>
      </c>
      <c r="Y2" s="12">
        <v>4342654</v>
      </c>
      <c r="Z2" s="12">
        <v>30</v>
      </c>
      <c r="AA2" s="12">
        <v>650530</v>
      </c>
      <c r="AB2" s="12">
        <v>4342446</v>
      </c>
      <c r="AC2" s="13">
        <v>-1.256296</v>
      </c>
      <c r="AD2" s="13">
        <v>39.218256</v>
      </c>
      <c r="AE2" s="7" t="s">
        <v>10</v>
      </c>
      <c r="AF2" s="7" t="s">
        <v>11</v>
      </c>
      <c r="AH2" s="32" t="s">
        <v>12</v>
      </c>
      <c r="AI2" s="14" t="s">
        <v>13</v>
      </c>
    </row>
    <row r="3" spans="1:35" ht="11.25">
      <c r="A3" s="5" t="s">
        <v>14</v>
      </c>
      <c r="B3" s="6" t="s">
        <v>15</v>
      </c>
      <c r="C3" s="6" t="s">
        <v>16</v>
      </c>
      <c r="D3" s="6" t="s">
        <v>17</v>
      </c>
      <c r="E3" s="7" t="s">
        <v>18</v>
      </c>
      <c r="G3" s="8">
        <v>925</v>
      </c>
      <c r="H3" s="9" t="str">
        <f>HYPERLINK("http://www.centcols.org/util/geo/visuGen.php?code=ES-AL-0925","ES-AL-0925")</f>
        <v>ES-AL-0925</v>
      </c>
      <c r="I3" s="7" t="s">
        <v>19</v>
      </c>
      <c r="J3" s="7" t="s">
        <v>20</v>
      </c>
      <c r="K3" s="7"/>
      <c r="L3" s="4" t="s">
        <v>21</v>
      </c>
      <c r="N3" s="7"/>
      <c r="O3" s="7"/>
      <c r="P3" s="7"/>
      <c r="Q3" s="10"/>
      <c r="R3" s="11"/>
      <c r="S3" s="12">
        <v>20</v>
      </c>
      <c r="T3" s="12">
        <v>99</v>
      </c>
      <c r="U3" s="12"/>
      <c r="V3" s="7"/>
      <c r="W3" s="12">
        <v>30</v>
      </c>
      <c r="X3" s="12">
        <v>580794</v>
      </c>
      <c r="Y3" s="12">
        <v>4182018</v>
      </c>
      <c r="Z3" s="12">
        <v>30</v>
      </c>
      <c r="AA3" s="12">
        <v>580682</v>
      </c>
      <c r="AB3" s="12">
        <v>4181810</v>
      </c>
      <c r="AC3" s="13">
        <v>-2.083777</v>
      </c>
      <c r="AD3" s="13">
        <v>37.780081</v>
      </c>
      <c r="AE3" s="7" t="s">
        <v>22</v>
      </c>
      <c r="AF3" s="7" t="s">
        <v>23</v>
      </c>
      <c r="AH3" s="32" t="s">
        <v>12</v>
      </c>
      <c r="AI3" s="14" t="s">
        <v>13</v>
      </c>
    </row>
    <row r="4" spans="1:35" ht="11.25">
      <c r="A4" s="5" t="s">
        <v>24</v>
      </c>
      <c r="B4" s="6" t="s">
        <v>25</v>
      </c>
      <c r="C4" s="6" t="s">
        <v>26</v>
      </c>
      <c r="D4" s="6" t="s">
        <v>27</v>
      </c>
      <c r="E4" s="7" t="s">
        <v>18</v>
      </c>
      <c r="G4" s="8">
        <v>516</v>
      </c>
      <c r="H4" s="9" t="str">
        <f>HYPERLINK("http://www.centcols.org/util/geo/visuGen.php?code=ES-AL-1070","ES-AL-1070")</f>
        <v>ES-AL-1070</v>
      </c>
      <c r="I4" s="7" t="s">
        <v>28</v>
      </c>
      <c r="J4" s="7" t="s">
        <v>29</v>
      </c>
      <c r="K4" s="7"/>
      <c r="L4" s="4" t="s">
        <v>30</v>
      </c>
      <c r="M4" s="4" t="s">
        <v>31</v>
      </c>
      <c r="N4" s="7"/>
      <c r="O4" s="7"/>
      <c r="P4" s="7"/>
      <c r="Q4" s="10"/>
      <c r="R4" s="11" t="s">
        <v>32</v>
      </c>
      <c r="S4" s="12">
        <v>0</v>
      </c>
      <c r="T4" s="12">
        <v>0</v>
      </c>
      <c r="U4" s="12"/>
      <c r="V4" s="7"/>
      <c r="W4" s="12">
        <v>30</v>
      </c>
      <c r="X4" s="12">
        <v>571990</v>
      </c>
      <c r="Y4" s="12">
        <v>4126250</v>
      </c>
      <c r="Z4" s="12">
        <v>30</v>
      </c>
      <c r="AA4" s="12">
        <v>571879</v>
      </c>
      <c r="AB4" s="12">
        <v>4126043</v>
      </c>
      <c r="AC4" s="13">
        <v>-2.189203</v>
      </c>
      <c r="AD4" s="13">
        <v>37.2782</v>
      </c>
      <c r="AE4" s="7" t="s">
        <v>33</v>
      </c>
      <c r="AF4" s="7" t="s">
        <v>34</v>
      </c>
      <c r="AH4" s="32" t="s">
        <v>1160</v>
      </c>
      <c r="AI4" s="14" t="s">
        <v>13</v>
      </c>
    </row>
    <row r="5" spans="1:35" ht="11.25">
      <c r="A5" s="33" t="s">
        <v>1161</v>
      </c>
      <c r="B5" s="33" t="s">
        <v>1162</v>
      </c>
      <c r="C5" s="33" t="s">
        <v>1163</v>
      </c>
      <c r="D5" s="33" t="s">
        <v>1164</v>
      </c>
      <c r="E5" s="16" t="s">
        <v>1165</v>
      </c>
      <c r="F5" s="33"/>
      <c r="G5" s="34">
        <v>1148</v>
      </c>
      <c r="H5" s="18" t="str">
        <f>HYPERLINK("http://www.centcols.org/util/geo/visuGen.php?code=ES-AV-1148","ES-AV-1148")</f>
        <v>ES-AV-1148</v>
      </c>
      <c r="I5" s="16" t="s">
        <v>1166</v>
      </c>
      <c r="J5" s="16" t="s">
        <v>1167</v>
      </c>
      <c r="K5" s="16"/>
      <c r="L5" s="19" t="s">
        <v>1168</v>
      </c>
      <c r="M5" s="19"/>
      <c r="N5" s="16" t="s">
        <v>12</v>
      </c>
      <c r="O5" s="16" t="s">
        <v>12</v>
      </c>
      <c r="P5" s="16" t="s">
        <v>12</v>
      </c>
      <c r="Q5" s="20"/>
      <c r="R5" s="21" t="s">
        <v>38</v>
      </c>
      <c r="S5" s="22">
        <v>10</v>
      </c>
      <c r="T5" s="22">
        <v>35</v>
      </c>
      <c r="U5" s="22"/>
      <c r="V5" s="16" t="s">
        <v>12</v>
      </c>
      <c r="W5" s="22">
        <v>30</v>
      </c>
      <c r="X5" s="22">
        <v>314894</v>
      </c>
      <c r="Y5" s="22">
        <v>4452120</v>
      </c>
      <c r="Z5" s="22">
        <v>30</v>
      </c>
      <c r="AA5" s="22">
        <v>314784</v>
      </c>
      <c r="AB5" s="22">
        <v>4451913</v>
      </c>
      <c r="AC5" s="35">
        <v>-5.176008</v>
      </c>
      <c r="AD5" s="35">
        <v>40.19718</v>
      </c>
      <c r="AE5" s="16" t="s">
        <v>1169</v>
      </c>
      <c r="AF5" s="16" t="s">
        <v>1170</v>
      </c>
      <c r="AG5" s="24"/>
      <c r="AH5" s="36" t="s">
        <v>1171</v>
      </c>
      <c r="AI5" s="25" t="s">
        <v>1172</v>
      </c>
    </row>
    <row r="6" spans="1:35" ht="11.25">
      <c r="A6" s="5" t="s">
        <v>35</v>
      </c>
      <c r="B6" s="6" t="s">
        <v>2</v>
      </c>
      <c r="C6" s="6" t="s">
        <v>36</v>
      </c>
      <c r="D6" s="6" t="s">
        <v>36</v>
      </c>
      <c r="E6" s="7" t="s">
        <v>37</v>
      </c>
      <c r="G6" s="8">
        <v>130</v>
      </c>
      <c r="H6" s="9" t="str">
        <f>HYPERLINK("http://www.centcols.org/util/geo/visuGen.php?code=ES-B-0130a","ES-B-0130a")</f>
        <v>ES-B-0130a</v>
      </c>
      <c r="I6" s="7"/>
      <c r="J6" s="7"/>
      <c r="K6" s="7"/>
      <c r="L6" s="4"/>
      <c r="N6" s="7"/>
      <c r="O6" s="7"/>
      <c r="P6" s="7"/>
      <c r="Q6" s="10"/>
      <c r="R6" s="11" t="s">
        <v>38</v>
      </c>
      <c r="S6" s="12">
        <v>0</v>
      </c>
      <c r="T6" s="12">
        <v>0</v>
      </c>
      <c r="U6" s="12"/>
      <c r="V6" s="7"/>
      <c r="W6" s="12"/>
      <c r="X6" s="12"/>
      <c r="Y6" s="12"/>
      <c r="Z6" s="12"/>
      <c r="AA6" s="12"/>
      <c r="AB6" s="12"/>
      <c r="AC6" s="13">
        <v>2.3259</v>
      </c>
      <c r="AD6" s="13">
        <v>41.59506</v>
      </c>
      <c r="AE6" s="7"/>
      <c r="AF6" s="7"/>
      <c r="AH6" s="32"/>
      <c r="AI6" s="15" t="s">
        <v>39</v>
      </c>
    </row>
    <row r="7" spans="1:35" ht="11.25">
      <c r="A7" s="5" t="s">
        <v>40</v>
      </c>
      <c r="B7" s="6" t="s">
        <v>2</v>
      </c>
      <c r="C7" s="6" t="s">
        <v>36</v>
      </c>
      <c r="D7" s="6" t="s">
        <v>36</v>
      </c>
      <c r="E7" s="7" t="s">
        <v>37</v>
      </c>
      <c r="G7" s="8">
        <v>206</v>
      </c>
      <c r="H7" s="9" t="str">
        <f>HYPERLINK("http://www.centcols.org/util/geo/visuGen.php?code=ES-B-0201a","ES-B-0201a")</f>
        <v>ES-B-0201a</v>
      </c>
      <c r="I7" s="7" t="s">
        <v>41</v>
      </c>
      <c r="J7" s="7" t="s">
        <v>42</v>
      </c>
      <c r="K7" s="7" t="s">
        <v>43</v>
      </c>
      <c r="L7" s="4" t="s">
        <v>44</v>
      </c>
      <c r="N7" s="7"/>
      <c r="O7" s="7"/>
      <c r="P7" s="7"/>
      <c r="Q7" s="10"/>
      <c r="R7" s="11"/>
      <c r="S7" s="12">
        <v>20</v>
      </c>
      <c r="T7" s="12">
        <v>99</v>
      </c>
      <c r="U7" s="12"/>
      <c r="V7" s="7"/>
      <c r="W7" s="12">
        <v>31</v>
      </c>
      <c r="X7" s="12">
        <v>406600</v>
      </c>
      <c r="Y7" s="12">
        <v>4567599</v>
      </c>
      <c r="Z7" s="12">
        <v>31</v>
      </c>
      <c r="AA7" s="12">
        <v>406506</v>
      </c>
      <c r="AB7" s="12">
        <v>4567395</v>
      </c>
      <c r="AC7" s="13">
        <v>1.884059</v>
      </c>
      <c r="AD7" s="13">
        <v>41.252566</v>
      </c>
      <c r="AE7" s="7" t="s">
        <v>45</v>
      </c>
      <c r="AF7" s="7" t="s">
        <v>46</v>
      </c>
      <c r="AH7" s="32"/>
      <c r="AI7" s="14" t="s">
        <v>13</v>
      </c>
    </row>
    <row r="8" spans="1:35" ht="11.25">
      <c r="A8" s="5" t="s">
        <v>47</v>
      </c>
      <c r="B8" s="6" t="s">
        <v>48</v>
      </c>
      <c r="C8" s="6" t="s">
        <v>49</v>
      </c>
      <c r="D8" s="6" t="s">
        <v>50</v>
      </c>
      <c r="E8" s="7" t="s">
        <v>37</v>
      </c>
      <c r="G8" s="8">
        <v>206</v>
      </c>
      <c r="H8" s="9" t="str">
        <f>HYPERLINK("http://www.centcols.org/util/geo/visuGen.php?code=ES-B-0206a","ES-B-0206a")</f>
        <v>ES-B-0206a</v>
      </c>
      <c r="I8" s="7"/>
      <c r="J8" s="7"/>
      <c r="K8" s="7"/>
      <c r="L8" s="4"/>
      <c r="N8" s="7"/>
      <c r="O8" s="7"/>
      <c r="P8" s="7"/>
      <c r="Q8" s="10"/>
      <c r="R8" s="11" t="s">
        <v>38</v>
      </c>
      <c r="S8" s="12">
        <v>0</v>
      </c>
      <c r="T8" s="12">
        <v>0</v>
      </c>
      <c r="U8" s="12"/>
      <c r="V8" s="7"/>
      <c r="W8" s="12"/>
      <c r="X8" s="12"/>
      <c r="Y8" s="12"/>
      <c r="Z8" s="12"/>
      <c r="AA8" s="12"/>
      <c r="AB8" s="12"/>
      <c r="AC8" s="13">
        <v>2.49747</v>
      </c>
      <c r="AD8" s="13">
        <v>41.67741</v>
      </c>
      <c r="AE8" s="7"/>
      <c r="AF8" s="7"/>
      <c r="AH8" s="32"/>
      <c r="AI8" s="15" t="s">
        <v>39</v>
      </c>
    </row>
    <row r="9" spans="1:35" ht="11.25">
      <c r="A9" s="5" t="s">
        <v>51</v>
      </c>
      <c r="B9" s="6" t="s">
        <v>52</v>
      </c>
      <c r="C9" s="6" t="s">
        <v>53</v>
      </c>
      <c r="D9" s="6" t="s">
        <v>54</v>
      </c>
      <c r="E9" s="7" t="s">
        <v>37</v>
      </c>
      <c r="G9" s="8">
        <v>249</v>
      </c>
      <c r="H9" s="9" t="str">
        <f>HYPERLINK("http://www.centcols.org/util/geo/visuGen.php?code=ES-B-0230g","ES-B-0230g")</f>
        <v>ES-B-0230g</v>
      </c>
      <c r="I9" s="7" t="s">
        <v>55</v>
      </c>
      <c r="J9" s="7" t="s">
        <v>56</v>
      </c>
      <c r="K9" s="7"/>
      <c r="L9" s="4" t="s">
        <v>57</v>
      </c>
      <c r="N9" s="7"/>
      <c r="O9" s="7"/>
      <c r="P9" s="7"/>
      <c r="Q9" s="10"/>
      <c r="R9" s="11" t="s">
        <v>38</v>
      </c>
      <c r="S9" s="12">
        <v>10</v>
      </c>
      <c r="T9" s="12">
        <v>35</v>
      </c>
      <c r="U9" s="12"/>
      <c r="V9" s="7"/>
      <c r="W9" s="12">
        <v>31</v>
      </c>
      <c r="X9" s="12">
        <v>403026</v>
      </c>
      <c r="Y9" s="12">
        <v>4607316</v>
      </c>
      <c r="Z9" s="12">
        <v>31</v>
      </c>
      <c r="AA9" s="12">
        <v>402932</v>
      </c>
      <c r="AB9" s="12">
        <v>4607112</v>
      </c>
      <c r="AC9" s="13">
        <v>1.835029</v>
      </c>
      <c r="AD9" s="13">
        <v>41.609822</v>
      </c>
      <c r="AE9" s="7" t="s">
        <v>58</v>
      </c>
      <c r="AF9" s="7" t="s">
        <v>59</v>
      </c>
      <c r="AH9" s="32" t="s">
        <v>60</v>
      </c>
      <c r="AI9" s="14" t="s">
        <v>13</v>
      </c>
    </row>
    <row r="10" spans="1:35" ht="11.25">
      <c r="A10" s="5" t="s">
        <v>61</v>
      </c>
      <c r="B10" s="6" t="s">
        <v>52</v>
      </c>
      <c r="C10" s="6" t="s">
        <v>62</v>
      </c>
      <c r="D10" s="6" t="s">
        <v>63</v>
      </c>
      <c r="E10" s="7" t="s">
        <v>37</v>
      </c>
      <c r="G10" s="8">
        <v>684</v>
      </c>
      <c r="H10" s="9" t="str">
        <f>HYPERLINK("http://www.centcols.org/util/geo/visuGen.php?code=ES-B-0691c","ES-B-0691c")</f>
        <v>ES-B-0691c</v>
      </c>
      <c r="I10" s="7" t="s">
        <v>64</v>
      </c>
      <c r="J10" s="7" t="s">
        <v>65</v>
      </c>
      <c r="K10" s="7" t="s">
        <v>66</v>
      </c>
      <c r="L10" s="4" t="s">
        <v>67</v>
      </c>
      <c r="N10" s="7"/>
      <c r="O10" s="7"/>
      <c r="P10" s="7"/>
      <c r="Q10" s="10"/>
      <c r="R10" s="11" t="s">
        <v>68</v>
      </c>
      <c r="S10" s="12">
        <v>15</v>
      </c>
      <c r="T10" s="12">
        <v>3</v>
      </c>
      <c r="U10" s="12"/>
      <c r="V10" s="7"/>
      <c r="W10" s="12">
        <v>31</v>
      </c>
      <c r="X10" s="12">
        <v>464002</v>
      </c>
      <c r="Y10" s="12">
        <v>4612600</v>
      </c>
      <c r="Z10" s="12">
        <v>31</v>
      </c>
      <c r="AA10" s="12">
        <v>463908</v>
      </c>
      <c r="AB10" s="12">
        <v>4612395</v>
      </c>
      <c r="AC10" s="13">
        <v>2.566483</v>
      </c>
      <c r="AD10" s="13">
        <v>41.662497</v>
      </c>
      <c r="AE10" s="7" t="s">
        <v>69</v>
      </c>
      <c r="AF10" s="7" t="s">
        <v>70</v>
      </c>
      <c r="AH10" s="32" t="s">
        <v>12</v>
      </c>
      <c r="AI10" s="14" t="s">
        <v>13</v>
      </c>
    </row>
    <row r="11" spans="1:35" ht="11.25">
      <c r="A11" s="5" t="s">
        <v>71</v>
      </c>
      <c r="B11" s="6" t="s">
        <v>72</v>
      </c>
      <c r="C11" s="6" t="s">
        <v>73</v>
      </c>
      <c r="D11" s="6" t="s">
        <v>74</v>
      </c>
      <c r="E11" s="7" t="s">
        <v>37</v>
      </c>
      <c r="G11" s="8">
        <v>733</v>
      </c>
      <c r="H11" s="9" t="str">
        <f>HYPERLINK("http://www.centcols.org/util/geo/visuGen.php?code=ES-B-0733a","ES-B-0733a")</f>
        <v>ES-B-0733a</v>
      </c>
      <c r="I11" s="7" t="s">
        <v>75</v>
      </c>
      <c r="J11" s="7" t="s">
        <v>76</v>
      </c>
      <c r="K11" s="7" t="s">
        <v>77</v>
      </c>
      <c r="L11" s="4" t="s">
        <v>78</v>
      </c>
      <c r="N11" s="7"/>
      <c r="O11" s="7"/>
      <c r="P11" s="7"/>
      <c r="Q11" s="10"/>
      <c r="R11" s="11" t="s">
        <v>79</v>
      </c>
      <c r="S11" s="12">
        <v>15</v>
      </c>
      <c r="T11" s="12">
        <v>99</v>
      </c>
      <c r="U11" s="12"/>
      <c r="V11" s="7"/>
      <c r="W11" s="12">
        <v>31</v>
      </c>
      <c r="X11" s="12">
        <v>436039</v>
      </c>
      <c r="Y11" s="12">
        <v>4622394</v>
      </c>
      <c r="Z11" s="12">
        <v>31</v>
      </c>
      <c r="AA11" s="12">
        <v>435945</v>
      </c>
      <c r="AB11" s="12">
        <v>4622190</v>
      </c>
      <c r="AC11" s="13">
        <v>2.229581</v>
      </c>
      <c r="AD11" s="13">
        <v>41.748949</v>
      </c>
      <c r="AE11" s="7" t="s">
        <v>80</v>
      </c>
      <c r="AF11" s="7" t="s">
        <v>81</v>
      </c>
      <c r="AH11" s="32" t="s">
        <v>82</v>
      </c>
      <c r="AI11" s="14" t="s">
        <v>13</v>
      </c>
    </row>
    <row r="12" spans="1:35" ht="11.25">
      <c r="A12" s="33" t="s">
        <v>1173</v>
      </c>
      <c r="B12" s="33" t="s">
        <v>52</v>
      </c>
      <c r="C12" s="33" t="s">
        <v>1174</v>
      </c>
      <c r="D12" s="37" t="s">
        <v>1175</v>
      </c>
      <c r="E12" s="16" t="s">
        <v>37</v>
      </c>
      <c r="F12" s="33"/>
      <c r="G12" s="34">
        <v>817</v>
      </c>
      <c r="H12" s="18" t="str">
        <f>HYPERLINK("http://www.centcols.org/util/geo/visuGen.php?code=ES-B-0735","ES-B-0735")</f>
        <v>ES-B-0735</v>
      </c>
      <c r="I12" s="16" t="s">
        <v>1176</v>
      </c>
      <c r="J12" s="16" t="s">
        <v>1177</v>
      </c>
      <c r="K12" s="20" t="s">
        <v>1178</v>
      </c>
      <c r="L12" s="19" t="s">
        <v>1179</v>
      </c>
      <c r="M12" s="19"/>
      <c r="N12" s="16" t="s">
        <v>12</v>
      </c>
      <c r="O12" s="16" t="s">
        <v>12</v>
      </c>
      <c r="P12" s="16" t="s">
        <v>12</v>
      </c>
      <c r="Q12" s="20"/>
      <c r="R12" s="21" t="s">
        <v>38</v>
      </c>
      <c r="S12" s="22">
        <v>10</v>
      </c>
      <c r="T12" s="22">
        <v>35</v>
      </c>
      <c r="U12" s="22"/>
      <c r="V12" s="16" t="s">
        <v>12</v>
      </c>
      <c r="W12" s="22">
        <v>31</v>
      </c>
      <c r="X12" s="22">
        <v>454776</v>
      </c>
      <c r="Y12" s="22">
        <v>4650526</v>
      </c>
      <c r="Z12" s="22">
        <v>31</v>
      </c>
      <c r="AA12" s="22">
        <v>454683</v>
      </c>
      <c r="AB12" s="22">
        <v>4650322</v>
      </c>
      <c r="AC12" s="35">
        <v>2.452777</v>
      </c>
      <c r="AD12" s="35">
        <v>42.003607</v>
      </c>
      <c r="AE12" s="16" t="s">
        <v>1180</v>
      </c>
      <c r="AF12" s="16" t="s">
        <v>1181</v>
      </c>
      <c r="AG12" s="24" t="s">
        <v>552</v>
      </c>
      <c r="AH12" s="38"/>
      <c r="AI12" s="25" t="s">
        <v>1172</v>
      </c>
    </row>
    <row r="13" spans="1:35" ht="11.25">
      <c r="A13" s="33" t="s">
        <v>1182</v>
      </c>
      <c r="B13" s="33" t="s">
        <v>1183</v>
      </c>
      <c r="C13" s="33" t="s">
        <v>1184</v>
      </c>
      <c r="D13" s="33" t="s">
        <v>1185</v>
      </c>
      <c r="E13" s="16" t="s">
        <v>37</v>
      </c>
      <c r="F13" s="33"/>
      <c r="G13" s="34">
        <v>817</v>
      </c>
      <c r="H13" s="18" t="str">
        <f>HYPERLINK("http://www.centcols.org/util/geo/visuGen.php?code=ES-B-0817","ES-B-0817")</f>
        <v>ES-B-0817</v>
      </c>
      <c r="I13" s="16" t="s">
        <v>1186</v>
      </c>
      <c r="J13" s="16" t="s">
        <v>1187</v>
      </c>
      <c r="K13" s="20" t="s">
        <v>1188</v>
      </c>
      <c r="L13" s="19" t="s">
        <v>1189</v>
      </c>
      <c r="M13" s="19"/>
      <c r="N13" s="16" t="s">
        <v>12</v>
      </c>
      <c r="O13" s="16" t="s">
        <v>12</v>
      </c>
      <c r="P13" s="16" t="s">
        <v>12</v>
      </c>
      <c r="Q13" s="20"/>
      <c r="R13" s="21" t="s">
        <v>38</v>
      </c>
      <c r="S13" s="22">
        <v>10</v>
      </c>
      <c r="T13" s="22">
        <v>35</v>
      </c>
      <c r="U13" s="39" t="s">
        <v>12</v>
      </c>
      <c r="V13" s="16" t="s">
        <v>12</v>
      </c>
      <c r="W13" s="22">
        <v>31</v>
      </c>
      <c r="X13" s="22">
        <v>451407</v>
      </c>
      <c r="Y13" s="22">
        <v>4649183</v>
      </c>
      <c r="Z13" s="22">
        <v>31</v>
      </c>
      <c r="AA13" s="22">
        <v>451314</v>
      </c>
      <c r="AB13" s="22">
        <v>4648979</v>
      </c>
      <c r="AC13" s="35">
        <v>2.412208</v>
      </c>
      <c r="AD13" s="35">
        <v>41.99131</v>
      </c>
      <c r="AE13" s="16" t="s">
        <v>1190</v>
      </c>
      <c r="AF13" s="16" t="s">
        <v>1191</v>
      </c>
      <c r="AG13" s="24" t="s">
        <v>552</v>
      </c>
      <c r="AH13" s="39"/>
      <c r="AI13" s="25" t="s">
        <v>1172</v>
      </c>
    </row>
    <row r="14" spans="1:35" ht="22.5">
      <c r="A14" s="5" t="s">
        <v>83</v>
      </c>
      <c r="B14" s="6" t="s">
        <v>84</v>
      </c>
      <c r="C14" s="6" t="s">
        <v>85</v>
      </c>
      <c r="D14" s="6" t="s">
        <v>86</v>
      </c>
      <c r="E14" s="7" t="s">
        <v>37</v>
      </c>
      <c r="G14" s="8">
        <v>818</v>
      </c>
      <c r="H14" s="9" t="str">
        <f>HYPERLINK("http://www.centcols.org/util/geo/visuGen.php?code=ES-B-0818","ES-B-0818")</f>
        <v>ES-B-0818</v>
      </c>
      <c r="I14" s="7" t="s">
        <v>87</v>
      </c>
      <c r="J14" s="7" t="s">
        <v>88</v>
      </c>
      <c r="K14" s="7" t="s">
        <v>89</v>
      </c>
      <c r="L14" s="4" t="s">
        <v>90</v>
      </c>
      <c r="N14" s="7"/>
      <c r="O14" s="7"/>
      <c r="P14" s="7"/>
      <c r="Q14" s="10"/>
      <c r="R14" s="11" t="s">
        <v>38</v>
      </c>
      <c r="S14" s="12">
        <v>10</v>
      </c>
      <c r="T14" s="12">
        <v>35</v>
      </c>
      <c r="U14" s="12"/>
      <c r="V14" s="7"/>
      <c r="W14" s="12">
        <v>31</v>
      </c>
      <c r="X14" s="12">
        <v>436839</v>
      </c>
      <c r="Y14" s="12">
        <v>4621125</v>
      </c>
      <c r="Z14" s="12">
        <v>31</v>
      </c>
      <c r="AA14" s="12">
        <v>436745</v>
      </c>
      <c r="AB14" s="12">
        <v>4620921</v>
      </c>
      <c r="AC14" s="13">
        <v>2.239337</v>
      </c>
      <c r="AD14" s="13">
        <v>41.737584</v>
      </c>
      <c r="AE14" s="7" t="s">
        <v>91</v>
      </c>
      <c r="AF14" s="7" t="s">
        <v>92</v>
      </c>
      <c r="AH14" s="32" t="s">
        <v>93</v>
      </c>
      <c r="AI14" s="14" t="s">
        <v>13</v>
      </c>
    </row>
    <row r="15" spans="1:35" ht="11.25">
      <c r="A15" s="5" t="s">
        <v>94</v>
      </c>
      <c r="B15" s="6" t="s">
        <v>95</v>
      </c>
      <c r="C15" s="6" t="s">
        <v>96</v>
      </c>
      <c r="D15" s="6" t="s">
        <v>97</v>
      </c>
      <c r="E15" s="7" t="s">
        <v>37</v>
      </c>
      <c r="G15" s="8">
        <v>987</v>
      </c>
      <c r="H15" s="9" t="str">
        <f>HYPERLINK("http://www.centcols.org/util/geo/visuGen.php?code=ES-B-0988a","ES-B-0988a")</f>
        <v>ES-B-0988a</v>
      </c>
      <c r="I15" s="7" t="s">
        <v>98</v>
      </c>
      <c r="J15" s="7" t="s">
        <v>99</v>
      </c>
      <c r="K15" s="7" t="s">
        <v>100</v>
      </c>
      <c r="L15" s="4" t="s">
        <v>101</v>
      </c>
      <c r="N15" s="7" t="s">
        <v>102</v>
      </c>
      <c r="O15" s="7"/>
      <c r="P15" s="7"/>
      <c r="Q15" s="10"/>
      <c r="R15" s="11"/>
      <c r="S15" s="12">
        <v>20</v>
      </c>
      <c r="T15" s="12">
        <v>99</v>
      </c>
      <c r="U15" s="12"/>
      <c r="V15" s="7"/>
      <c r="W15" s="12">
        <v>31</v>
      </c>
      <c r="X15" s="12">
        <v>443357</v>
      </c>
      <c r="Y15" s="12">
        <v>4620775</v>
      </c>
      <c r="Z15" s="12">
        <v>31</v>
      </c>
      <c r="AA15" s="12">
        <v>443263</v>
      </c>
      <c r="AB15" s="12">
        <v>4620571</v>
      </c>
      <c r="AC15" s="13">
        <v>2.317747</v>
      </c>
      <c r="AD15" s="13">
        <v>41.734923</v>
      </c>
      <c r="AE15" s="7" t="s">
        <v>103</v>
      </c>
      <c r="AF15" s="7" t="s">
        <v>104</v>
      </c>
      <c r="AH15" s="32" t="s">
        <v>12</v>
      </c>
      <c r="AI15" s="14" t="s">
        <v>13</v>
      </c>
    </row>
    <row r="16" spans="1:35" ht="11.25">
      <c r="A16" s="5" t="s">
        <v>105</v>
      </c>
      <c r="B16" s="6" t="s">
        <v>106</v>
      </c>
      <c r="C16" s="6" t="s">
        <v>107</v>
      </c>
      <c r="D16" s="6" t="s">
        <v>108</v>
      </c>
      <c r="E16" s="7" t="s">
        <v>37</v>
      </c>
      <c r="G16" s="8">
        <v>1073</v>
      </c>
      <c r="H16" s="9" t="str">
        <f>HYPERLINK("http://www.centcols.org/util/geo/visuGen.php?code=ES-B-1073","ES-B-1073")</f>
        <v>ES-B-1073</v>
      </c>
      <c r="I16" s="7" t="s">
        <v>109</v>
      </c>
      <c r="J16" s="7" t="s">
        <v>110</v>
      </c>
      <c r="K16" s="7" t="s">
        <v>111</v>
      </c>
      <c r="L16" s="4" t="s">
        <v>112</v>
      </c>
      <c r="M16" s="4" t="s">
        <v>113</v>
      </c>
      <c r="N16" s="7"/>
      <c r="O16" s="7"/>
      <c r="P16" s="7"/>
      <c r="Q16" s="10"/>
      <c r="R16" s="11" t="s">
        <v>114</v>
      </c>
      <c r="S16" s="12">
        <v>0</v>
      </c>
      <c r="T16" s="12">
        <v>0</v>
      </c>
      <c r="U16" s="12"/>
      <c r="V16" s="7"/>
      <c r="W16" s="12">
        <v>31</v>
      </c>
      <c r="X16" s="12">
        <v>454031</v>
      </c>
      <c r="Y16" s="12">
        <v>4652196</v>
      </c>
      <c r="Z16" s="12">
        <v>31</v>
      </c>
      <c r="AA16" s="12">
        <v>453938</v>
      </c>
      <c r="AB16" s="12">
        <v>4651992</v>
      </c>
      <c r="AC16" s="13">
        <v>2.443651</v>
      </c>
      <c r="AD16" s="13">
        <v>42.018604</v>
      </c>
      <c r="AE16" s="7" t="s">
        <v>115</v>
      </c>
      <c r="AF16" s="7" t="s">
        <v>116</v>
      </c>
      <c r="AG16" s="10" t="s">
        <v>117</v>
      </c>
      <c r="AH16" s="32" t="s">
        <v>12</v>
      </c>
      <c r="AI16" s="14" t="s">
        <v>13</v>
      </c>
    </row>
    <row r="17" spans="1:35" ht="11.25">
      <c r="A17" s="5" t="s">
        <v>118</v>
      </c>
      <c r="B17" s="6" t="s">
        <v>119</v>
      </c>
      <c r="C17" s="6" t="s">
        <v>120</v>
      </c>
      <c r="D17" s="6" t="s">
        <v>121</v>
      </c>
      <c r="E17" s="7" t="s">
        <v>37</v>
      </c>
      <c r="G17" s="8">
        <v>1088</v>
      </c>
      <c r="H17" s="9" t="str">
        <f>HYPERLINK("http://www.centcols.org/util/geo/visuGen.php?code=ES-B-1075a","ES-B-1075a")</f>
        <v>ES-B-1075a</v>
      </c>
      <c r="I17" s="7" t="s">
        <v>122</v>
      </c>
      <c r="J17" s="7" t="s">
        <v>123</v>
      </c>
      <c r="K17" s="7" t="s">
        <v>124</v>
      </c>
      <c r="L17" s="4" t="s">
        <v>125</v>
      </c>
      <c r="N17" s="7"/>
      <c r="O17" s="7"/>
      <c r="P17" s="7"/>
      <c r="Q17" s="10"/>
      <c r="R17" s="11"/>
      <c r="S17" s="12">
        <v>20</v>
      </c>
      <c r="T17" s="12">
        <v>99</v>
      </c>
      <c r="U17" s="12"/>
      <c r="V17" s="7"/>
      <c r="W17" s="12">
        <v>31</v>
      </c>
      <c r="X17" s="12">
        <v>414555</v>
      </c>
      <c r="Y17" s="12">
        <v>4676381</v>
      </c>
      <c r="Z17" s="12">
        <v>31</v>
      </c>
      <c r="AA17" s="12">
        <v>414461</v>
      </c>
      <c r="AB17" s="12">
        <v>4676177</v>
      </c>
      <c r="AC17" s="13">
        <v>1.963357</v>
      </c>
      <c r="AD17" s="13">
        <v>42.233092</v>
      </c>
      <c r="AE17" s="7" t="s">
        <v>126</v>
      </c>
      <c r="AF17" s="7" t="s">
        <v>127</v>
      </c>
      <c r="AH17" s="32" t="s">
        <v>12</v>
      </c>
      <c r="AI17" s="14" t="s">
        <v>13</v>
      </c>
    </row>
    <row r="18" spans="1:35" ht="11.25">
      <c r="A18" s="33" t="s">
        <v>1192</v>
      </c>
      <c r="B18" s="33" t="s">
        <v>1193</v>
      </c>
      <c r="C18" s="33" t="s">
        <v>1194</v>
      </c>
      <c r="D18" s="33" t="s">
        <v>1195</v>
      </c>
      <c r="E18" s="16" t="s">
        <v>37</v>
      </c>
      <c r="F18" s="33"/>
      <c r="G18" s="34">
        <v>1145</v>
      </c>
      <c r="H18" s="18" t="str">
        <f>HYPERLINK("http://www.centcols.org/util/geo/visuGen.php?code=ES-B-1144","ES-B-1144")</f>
        <v>ES-B-1144</v>
      </c>
      <c r="I18" s="16" t="s">
        <v>1196</v>
      </c>
      <c r="J18" s="16" t="s">
        <v>1197</v>
      </c>
      <c r="K18" s="20" t="s">
        <v>1198</v>
      </c>
      <c r="L18" s="19" t="s">
        <v>1199</v>
      </c>
      <c r="M18" s="19"/>
      <c r="N18" s="16" t="s">
        <v>12</v>
      </c>
      <c r="O18" s="16" t="s">
        <v>12</v>
      </c>
      <c r="P18" s="16" t="s">
        <v>12</v>
      </c>
      <c r="Q18" s="20"/>
      <c r="R18" s="21" t="s">
        <v>1200</v>
      </c>
      <c r="S18" s="22">
        <v>20</v>
      </c>
      <c r="T18" s="22">
        <v>2</v>
      </c>
      <c r="U18" s="39" t="s">
        <v>12</v>
      </c>
      <c r="V18" s="16" t="s">
        <v>12</v>
      </c>
      <c r="W18" s="22">
        <v>31</v>
      </c>
      <c r="X18" s="22">
        <v>396606</v>
      </c>
      <c r="Y18" s="22">
        <v>4677151</v>
      </c>
      <c r="Z18" s="22">
        <v>31</v>
      </c>
      <c r="AA18" s="22">
        <v>396512</v>
      </c>
      <c r="AB18" s="22">
        <v>4676947</v>
      </c>
      <c r="AC18" s="35">
        <v>1.74574</v>
      </c>
      <c r="AD18" s="35">
        <v>42.237854</v>
      </c>
      <c r="AE18" s="16" t="s">
        <v>1201</v>
      </c>
      <c r="AF18" s="16" t="s">
        <v>1202</v>
      </c>
      <c r="AG18" s="24" t="s">
        <v>552</v>
      </c>
      <c r="AH18" s="38"/>
      <c r="AI18" s="25" t="s">
        <v>1172</v>
      </c>
    </row>
    <row r="19" spans="1:35" ht="22.5">
      <c r="A19" s="5" t="s">
        <v>128</v>
      </c>
      <c r="B19" s="6" t="s">
        <v>129</v>
      </c>
      <c r="C19" s="6" t="s">
        <v>130</v>
      </c>
      <c r="D19" s="6" t="s">
        <v>131</v>
      </c>
      <c r="E19" s="7" t="s">
        <v>37</v>
      </c>
      <c r="G19" s="8">
        <v>1250</v>
      </c>
      <c r="H19" s="9" t="str">
        <f>HYPERLINK("http://www.centcols.org/util/geo/visuGen.php?code=ES-B-1250a","ES-B-1250a")</f>
        <v>ES-B-1250a</v>
      </c>
      <c r="I19" s="7"/>
      <c r="J19" s="7"/>
      <c r="K19" s="7"/>
      <c r="L19" s="4"/>
      <c r="N19" s="7"/>
      <c r="O19" s="7"/>
      <c r="P19" s="7"/>
      <c r="Q19" s="10"/>
      <c r="R19" s="11"/>
      <c r="S19" s="12">
        <v>20</v>
      </c>
      <c r="T19" s="12">
        <v>99</v>
      </c>
      <c r="U19" s="12"/>
      <c r="V19" s="7"/>
      <c r="W19" s="12"/>
      <c r="X19" s="12"/>
      <c r="Y19" s="12"/>
      <c r="Z19" s="12"/>
      <c r="AA19" s="12"/>
      <c r="AB19" s="12"/>
      <c r="AC19" s="13">
        <v>1.75905</v>
      </c>
      <c r="AD19" s="13">
        <v>42.09225</v>
      </c>
      <c r="AE19" s="7"/>
      <c r="AF19" s="7"/>
      <c r="AH19" s="32"/>
      <c r="AI19" s="15" t="s">
        <v>39</v>
      </c>
    </row>
    <row r="20" spans="1:35" ht="11.25">
      <c r="A20" s="33" t="s">
        <v>1203</v>
      </c>
      <c r="B20" s="33" t="s">
        <v>1204</v>
      </c>
      <c r="C20" s="33" t="s">
        <v>1205</v>
      </c>
      <c r="D20" s="33" t="s">
        <v>1206</v>
      </c>
      <c r="E20" s="16" t="s">
        <v>37</v>
      </c>
      <c r="F20" s="33"/>
      <c r="G20" s="34">
        <v>1277</v>
      </c>
      <c r="H20" s="18" t="str">
        <f>HYPERLINK("http://www.centcols.org/util/geo/visuGen.php?code=ES-B-1280","ES-B-1280")</f>
        <v>ES-B-1280</v>
      </c>
      <c r="I20" s="16" t="s">
        <v>1207</v>
      </c>
      <c r="J20" s="16" t="s">
        <v>1208</v>
      </c>
      <c r="K20" s="20" t="s">
        <v>1209</v>
      </c>
      <c r="L20" s="19" t="s">
        <v>1210</v>
      </c>
      <c r="M20" s="19"/>
      <c r="N20" s="16" t="s">
        <v>12</v>
      </c>
      <c r="O20" s="16" t="s">
        <v>12</v>
      </c>
      <c r="P20" s="16" t="s">
        <v>12</v>
      </c>
      <c r="Q20" s="20"/>
      <c r="R20" s="21" t="s">
        <v>79</v>
      </c>
      <c r="S20" s="22">
        <v>15</v>
      </c>
      <c r="T20" s="22">
        <v>99</v>
      </c>
      <c r="U20" s="39" t="s">
        <v>12</v>
      </c>
      <c r="V20" s="16" t="s">
        <v>12</v>
      </c>
      <c r="W20" s="22">
        <v>31</v>
      </c>
      <c r="X20" s="22">
        <v>399592</v>
      </c>
      <c r="Y20" s="22">
        <v>4679775</v>
      </c>
      <c r="Z20" s="22">
        <v>31</v>
      </c>
      <c r="AA20" s="22">
        <v>399498</v>
      </c>
      <c r="AB20" s="22">
        <v>4679571</v>
      </c>
      <c r="AC20" s="35">
        <v>1.781467</v>
      </c>
      <c r="AD20" s="35">
        <v>42.261871</v>
      </c>
      <c r="AE20" s="16" t="s">
        <v>1211</v>
      </c>
      <c r="AF20" s="16" t="s">
        <v>1212</v>
      </c>
      <c r="AG20" s="24" t="s">
        <v>552</v>
      </c>
      <c r="AH20" s="38"/>
      <c r="AI20" s="25" t="s">
        <v>1172</v>
      </c>
    </row>
    <row r="21" spans="1:35" ht="22.5">
      <c r="A21" s="5" t="s">
        <v>132</v>
      </c>
      <c r="B21" s="6" t="s">
        <v>133</v>
      </c>
      <c r="C21" s="6" t="s">
        <v>134</v>
      </c>
      <c r="D21" s="6" t="s">
        <v>135</v>
      </c>
      <c r="E21" s="7" t="s">
        <v>37</v>
      </c>
      <c r="G21" s="8">
        <v>1695</v>
      </c>
      <c r="H21" s="9" t="str">
        <f>HYPERLINK("http://www.centcols.org/util/geo/visuGen.php?code=ES-B-1692","ES-B-1692")</f>
        <v>ES-B-1692</v>
      </c>
      <c r="I21" s="7" t="s">
        <v>136</v>
      </c>
      <c r="J21" s="7" t="s">
        <v>137</v>
      </c>
      <c r="K21" s="7"/>
      <c r="L21" s="4" t="s">
        <v>138</v>
      </c>
      <c r="N21" s="7"/>
      <c r="O21" s="7"/>
      <c r="P21" s="7"/>
      <c r="Q21" s="10"/>
      <c r="R21" s="11" t="s">
        <v>139</v>
      </c>
      <c r="S21" s="12">
        <v>10</v>
      </c>
      <c r="T21" s="12">
        <v>2</v>
      </c>
      <c r="U21" s="12"/>
      <c r="V21" s="7"/>
      <c r="W21" s="12">
        <v>31</v>
      </c>
      <c r="X21" s="12">
        <v>412367</v>
      </c>
      <c r="Y21" s="12">
        <v>4673236</v>
      </c>
      <c r="Z21" s="12">
        <v>31</v>
      </c>
      <c r="AA21" s="12">
        <v>412273</v>
      </c>
      <c r="AB21" s="12">
        <v>4673032</v>
      </c>
      <c r="AC21" s="13">
        <v>1.93732</v>
      </c>
      <c r="AD21" s="13">
        <v>42.20453</v>
      </c>
      <c r="AE21" s="7" t="s">
        <v>140</v>
      </c>
      <c r="AF21" s="7" t="s">
        <v>141</v>
      </c>
      <c r="AH21" s="32"/>
      <c r="AI21" s="14" t="s">
        <v>13</v>
      </c>
    </row>
    <row r="22" spans="1:35" ht="22.5">
      <c r="A22" s="5" t="s">
        <v>142</v>
      </c>
      <c r="B22" s="6" t="s">
        <v>106</v>
      </c>
      <c r="C22" s="6" t="s">
        <v>143</v>
      </c>
      <c r="D22" s="6" t="s">
        <v>144</v>
      </c>
      <c r="E22" s="7" t="s">
        <v>37</v>
      </c>
      <c r="G22" s="8">
        <v>1894</v>
      </c>
      <c r="H22" s="9" t="str">
        <f>HYPERLINK("http://www.centcols.org/util/geo/visuGen.php?code=ES-B-1870","ES-B-1870")</f>
        <v>ES-B-1870</v>
      </c>
      <c r="I22" s="7" t="s">
        <v>145</v>
      </c>
      <c r="J22" s="7" t="s">
        <v>146</v>
      </c>
      <c r="K22" s="7"/>
      <c r="L22" s="4" t="s">
        <v>147</v>
      </c>
      <c r="M22" s="4" t="s">
        <v>148</v>
      </c>
      <c r="N22" s="7"/>
      <c r="O22" s="7"/>
      <c r="P22" s="7"/>
      <c r="Q22" s="10"/>
      <c r="R22" s="11" t="s">
        <v>149</v>
      </c>
      <c r="S22" s="12">
        <v>0</v>
      </c>
      <c r="T22" s="12">
        <v>0</v>
      </c>
      <c r="U22" s="12"/>
      <c r="V22" s="7"/>
      <c r="W22" s="12">
        <v>31</v>
      </c>
      <c r="X22" s="12">
        <v>397974</v>
      </c>
      <c r="Y22" s="12">
        <v>4666437</v>
      </c>
      <c r="Z22" s="12">
        <v>31</v>
      </c>
      <c r="AA22" s="12">
        <v>397880</v>
      </c>
      <c r="AB22" s="12">
        <v>4666233</v>
      </c>
      <c r="AC22" s="13">
        <v>1.764198</v>
      </c>
      <c r="AD22" s="13">
        <v>42.141562</v>
      </c>
      <c r="AE22" s="7" t="s">
        <v>150</v>
      </c>
      <c r="AF22" s="7" t="s">
        <v>151</v>
      </c>
      <c r="AH22" s="32" t="s">
        <v>152</v>
      </c>
      <c r="AI22" s="14" t="s">
        <v>13</v>
      </c>
    </row>
    <row r="23" spans="1:35" ht="22.5">
      <c r="A23" s="5" t="s">
        <v>153</v>
      </c>
      <c r="B23" s="6" t="s">
        <v>154</v>
      </c>
      <c r="C23" s="6" t="s">
        <v>155</v>
      </c>
      <c r="D23" s="6" t="s">
        <v>156</v>
      </c>
      <c r="E23" s="7" t="s">
        <v>37</v>
      </c>
      <c r="G23" s="8">
        <v>1875</v>
      </c>
      <c r="H23" s="9" t="str">
        <f>HYPERLINK("http://www.centcols.org/util/geo/visuGen.php?code=ES-B-1875","ES-B-1875")</f>
        <v>ES-B-1875</v>
      </c>
      <c r="I23" s="7"/>
      <c r="J23" s="7"/>
      <c r="K23" s="7"/>
      <c r="L23" s="4"/>
      <c r="N23" s="7"/>
      <c r="O23" s="7"/>
      <c r="P23" s="7"/>
      <c r="Q23" s="10"/>
      <c r="R23" s="11"/>
      <c r="S23" s="12">
        <v>20</v>
      </c>
      <c r="T23" s="12">
        <v>99</v>
      </c>
      <c r="U23" s="12"/>
      <c r="V23" s="7"/>
      <c r="W23" s="12"/>
      <c r="X23" s="12"/>
      <c r="Y23" s="12"/>
      <c r="Z23" s="12"/>
      <c r="AA23" s="12"/>
      <c r="AB23" s="12"/>
      <c r="AC23" s="13">
        <v>2.08856</v>
      </c>
      <c r="AD23" s="13">
        <v>42.28644</v>
      </c>
      <c r="AE23" s="7"/>
      <c r="AF23" s="7"/>
      <c r="AH23" s="32" t="s">
        <v>1213</v>
      </c>
      <c r="AI23" s="15" t="s">
        <v>39</v>
      </c>
    </row>
    <row r="24" spans="1:35" ht="11.25">
      <c r="A24" s="5" t="s">
        <v>157</v>
      </c>
      <c r="B24" s="6" t="s">
        <v>158</v>
      </c>
      <c r="C24" s="6" t="s">
        <v>159</v>
      </c>
      <c r="D24" s="6" t="s">
        <v>160</v>
      </c>
      <c r="E24" s="7" t="s">
        <v>161</v>
      </c>
      <c r="G24" s="8">
        <v>803</v>
      </c>
      <c r="H24" s="9" t="str">
        <f>HYPERLINK("http://www.centcols.org/util/geo/visuGen.php?code=ES-BA-0803","ES-BA-0803")</f>
        <v>ES-BA-0803</v>
      </c>
      <c r="I24" s="7" t="s">
        <v>162</v>
      </c>
      <c r="J24" s="7" t="s">
        <v>163</v>
      </c>
      <c r="K24" s="7"/>
      <c r="L24" s="4" t="s">
        <v>164</v>
      </c>
      <c r="N24" s="7"/>
      <c r="O24" s="7"/>
      <c r="P24" s="7"/>
      <c r="Q24" s="10"/>
      <c r="R24" s="11" t="s">
        <v>38</v>
      </c>
      <c r="S24" s="12">
        <v>10</v>
      </c>
      <c r="T24" s="12">
        <v>35</v>
      </c>
      <c r="U24" s="12"/>
      <c r="V24" s="7"/>
      <c r="W24" s="12">
        <v>29</v>
      </c>
      <c r="X24" s="12">
        <v>734130</v>
      </c>
      <c r="Y24" s="12">
        <v>4212790</v>
      </c>
      <c r="Z24" s="12">
        <v>29</v>
      </c>
      <c r="AA24" s="12">
        <v>734005</v>
      </c>
      <c r="AB24" s="12">
        <v>4212578</v>
      </c>
      <c r="AC24" s="13">
        <v>-6.333832</v>
      </c>
      <c r="AD24" s="13">
        <v>38.03071</v>
      </c>
      <c r="AE24" s="7" t="s">
        <v>165</v>
      </c>
      <c r="AF24" s="7" t="s">
        <v>166</v>
      </c>
      <c r="AH24" s="32" t="s">
        <v>12</v>
      </c>
      <c r="AI24" s="14" t="s">
        <v>13</v>
      </c>
    </row>
    <row r="25" spans="1:35" ht="22.5">
      <c r="A25" s="5" t="s">
        <v>167</v>
      </c>
      <c r="B25" s="6" t="s">
        <v>168</v>
      </c>
      <c r="C25" s="6" t="s">
        <v>169</v>
      </c>
      <c r="D25" s="6" t="s">
        <v>169</v>
      </c>
      <c r="E25" s="7" t="s">
        <v>170</v>
      </c>
      <c r="G25" s="8">
        <v>942</v>
      </c>
      <c r="H25" s="9" t="str">
        <f>HYPERLINK("http://www.centcols.org/util/geo/visuGen.php?code=ES-BU-0942","ES-BU-0942")</f>
        <v>ES-BU-0942</v>
      </c>
      <c r="I25" s="7" t="s">
        <v>171</v>
      </c>
      <c r="J25" s="7" t="s">
        <v>172</v>
      </c>
      <c r="K25" s="7"/>
      <c r="L25" s="4" t="s">
        <v>173</v>
      </c>
      <c r="N25" s="7"/>
      <c r="O25" s="7"/>
      <c r="P25" s="7"/>
      <c r="Q25" s="10"/>
      <c r="R25" s="11" t="s">
        <v>79</v>
      </c>
      <c r="S25" s="12">
        <v>15</v>
      </c>
      <c r="T25" s="12">
        <v>99</v>
      </c>
      <c r="U25" s="12"/>
      <c r="V25" s="7" t="s">
        <v>174</v>
      </c>
      <c r="W25" s="12">
        <v>30</v>
      </c>
      <c r="X25" s="12">
        <v>491339</v>
      </c>
      <c r="Y25" s="12">
        <v>4746950</v>
      </c>
      <c r="Z25" s="12">
        <v>30</v>
      </c>
      <c r="AA25" s="12">
        <v>491233</v>
      </c>
      <c r="AB25" s="12">
        <v>4746743</v>
      </c>
      <c r="AC25" s="13">
        <v>-3.107344</v>
      </c>
      <c r="AD25" s="13">
        <v>42.873227</v>
      </c>
      <c r="AE25" s="7" t="s">
        <v>175</v>
      </c>
      <c r="AF25" s="7" t="s">
        <v>176</v>
      </c>
      <c r="AH25" s="32" t="s">
        <v>1214</v>
      </c>
      <c r="AI25" s="14" t="s">
        <v>13</v>
      </c>
    </row>
    <row r="26" spans="1:35" ht="11.25">
      <c r="A26" s="5" t="s">
        <v>177</v>
      </c>
      <c r="B26" s="6" t="s">
        <v>178</v>
      </c>
      <c r="C26" s="6" t="s">
        <v>179</v>
      </c>
      <c r="D26" s="6" t="s">
        <v>180</v>
      </c>
      <c r="E26" s="7" t="s">
        <v>170</v>
      </c>
      <c r="G26" s="8">
        <v>946</v>
      </c>
      <c r="H26" s="9" t="str">
        <f>HYPERLINK("http://www.centcols.org/util/geo/visuGen.php?code=ES-BU-0946a","ES-BU-0946a")</f>
        <v>ES-BU-0946a</v>
      </c>
      <c r="I26" s="7" t="s">
        <v>181</v>
      </c>
      <c r="J26" s="7" t="s">
        <v>182</v>
      </c>
      <c r="K26" s="7"/>
      <c r="L26" s="4" t="s">
        <v>183</v>
      </c>
      <c r="N26" s="7"/>
      <c r="O26" s="7"/>
      <c r="P26" s="7"/>
      <c r="Q26" s="10"/>
      <c r="R26" s="11" t="s">
        <v>38</v>
      </c>
      <c r="S26" s="12">
        <v>10</v>
      </c>
      <c r="T26" s="12">
        <v>35</v>
      </c>
      <c r="U26" s="12"/>
      <c r="V26" s="7"/>
      <c r="W26" s="12">
        <v>30</v>
      </c>
      <c r="X26" s="12">
        <v>481021</v>
      </c>
      <c r="Y26" s="12">
        <v>4769592</v>
      </c>
      <c r="Z26" s="12">
        <v>30</v>
      </c>
      <c r="AA26" s="12">
        <v>480915</v>
      </c>
      <c r="AB26" s="12">
        <v>4769384</v>
      </c>
      <c r="AC26" s="13">
        <v>-3.234442</v>
      </c>
      <c r="AD26" s="13">
        <v>43.07693</v>
      </c>
      <c r="AE26" s="7" t="s">
        <v>184</v>
      </c>
      <c r="AF26" s="7" t="s">
        <v>185</v>
      </c>
      <c r="AH26" s="32" t="s">
        <v>12</v>
      </c>
      <c r="AI26" s="14" t="s">
        <v>13</v>
      </c>
    </row>
    <row r="27" spans="1:35" ht="11.25">
      <c r="A27" s="5" t="s">
        <v>186</v>
      </c>
      <c r="B27" s="6" t="s">
        <v>187</v>
      </c>
      <c r="C27" s="6" t="s">
        <v>188</v>
      </c>
      <c r="D27" s="6" t="s">
        <v>189</v>
      </c>
      <c r="E27" s="7" t="s">
        <v>190</v>
      </c>
      <c r="G27" s="8">
        <v>76</v>
      </c>
      <c r="H27" s="9" t="str">
        <f>HYPERLINK("http://www.centcols.org/util/geo/visuGen.php?code=ES-C-0076","ES-C-0076")</f>
        <v>ES-C-0076</v>
      </c>
      <c r="I27" s="7" t="s">
        <v>191</v>
      </c>
      <c r="J27" s="7" t="s">
        <v>192</v>
      </c>
      <c r="K27" s="7"/>
      <c r="L27" s="4" t="s">
        <v>193</v>
      </c>
      <c r="M27" s="4" t="s">
        <v>194</v>
      </c>
      <c r="N27" s="7"/>
      <c r="O27" s="7"/>
      <c r="P27" s="7"/>
      <c r="Q27" s="10"/>
      <c r="R27" s="11" t="s">
        <v>195</v>
      </c>
      <c r="S27" s="12">
        <v>0</v>
      </c>
      <c r="T27" s="12">
        <v>0</v>
      </c>
      <c r="U27" s="12"/>
      <c r="V27" s="7"/>
      <c r="W27" s="12">
        <v>29</v>
      </c>
      <c r="X27" s="12">
        <v>512434</v>
      </c>
      <c r="Y27" s="12">
        <v>4738302</v>
      </c>
      <c r="Z27" s="12">
        <v>29</v>
      </c>
      <c r="AA27" s="12">
        <v>512309</v>
      </c>
      <c r="AB27" s="12">
        <v>4738087</v>
      </c>
      <c r="AC27" s="13">
        <v>-8.849487</v>
      </c>
      <c r="AD27" s="13">
        <v>42.795234</v>
      </c>
      <c r="AE27" s="7" t="s">
        <v>196</v>
      </c>
      <c r="AF27" s="7" t="s">
        <v>197</v>
      </c>
      <c r="AH27" s="32" t="s">
        <v>12</v>
      </c>
      <c r="AI27" s="14" t="s">
        <v>13</v>
      </c>
    </row>
    <row r="28" spans="1:35" ht="11.25">
      <c r="A28" s="5" t="s">
        <v>198</v>
      </c>
      <c r="B28" s="6" t="s">
        <v>199</v>
      </c>
      <c r="C28" s="6" t="s">
        <v>200</v>
      </c>
      <c r="D28" s="6" t="s">
        <v>201</v>
      </c>
      <c r="E28" s="7" t="s">
        <v>190</v>
      </c>
      <c r="G28" s="8">
        <v>225</v>
      </c>
      <c r="H28" s="9" t="str">
        <f>HYPERLINK("http://www.centcols.org/util/geo/visuGen.php?code=ES-C-0225","ES-C-0225")</f>
        <v>ES-C-0225</v>
      </c>
      <c r="I28" s="7"/>
      <c r="J28" s="7"/>
      <c r="K28" s="7"/>
      <c r="L28" s="4"/>
      <c r="N28" s="7"/>
      <c r="O28" s="7"/>
      <c r="P28" s="7"/>
      <c r="Q28" s="10"/>
      <c r="R28" s="11" t="s">
        <v>38</v>
      </c>
      <c r="S28" s="12">
        <v>0</v>
      </c>
      <c r="T28" s="12">
        <v>0</v>
      </c>
      <c r="U28" s="12"/>
      <c r="V28" s="7"/>
      <c r="W28" s="12"/>
      <c r="X28" s="12"/>
      <c r="Y28" s="12"/>
      <c r="Z28" s="12"/>
      <c r="AA28" s="12"/>
      <c r="AB28" s="12"/>
      <c r="AC28" s="13">
        <v>-8.15158</v>
      </c>
      <c r="AD28" s="13">
        <v>43.38105</v>
      </c>
      <c r="AE28" s="7"/>
      <c r="AF28" s="7"/>
      <c r="AH28" s="32"/>
      <c r="AI28" s="15" t="s">
        <v>39</v>
      </c>
    </row>
    <row r="29" spans="1:35" ht="11.25">
      <c r="A29" s="5" t="s">
        <v>202</v>
      </c>
      <c r="B29" s="6" t="s">
        <v>203</v>
      </c>
      <c r="C29" s="6" t="s">
        <v>204</v>
      </c>
      <c r="D29" s="6" t="s">
        <v>205</v>
      </c>
      <c r="E29" s="7" t="s">
        <v>190</v>
      </c>
      <c r="G29" s="8">
        <v>326</v>
      </c>
      <c r="H29" s="9" t="str">
        <f>HYPERLINK("http://www.centcols.org/util/geo/visuGen.php?code=ES-C-0334","ES-C-0334")</f>
        <v>ES-C-0334</v>
      </c>
      <c r="I29" s="7" t="s">
        <v>206</v>
      </c>
      <c r="J29" s="7" t="s">
        <v>207</v>
      </c>
      <c r="K29" s="7"/>
      <c r="L29" s="4" t="s">
        <v>208</v>
      </c>
      <c r="M29" s="4" t="s">
        <v>209</v>
      </c>
      <c r="N29" s="7"/>
      <c r="O29" s="7"/>
      <c r="P29" s="7"/>
      <c r="Q29" s="10"/>
      <c r="R29" s="11" t="s">
        <v>210</v>
      </c>
      <c r="S29" s="12">
        <v>0</v>
      </c>
      <c r="T29" s="12">
        <v>0</v>
      </c>
      <c r="U29" s="12"/>
      <c r="V29" s="7"/>
      <c r="W29" s="12">
        <v>29</v>
      </c>
      <c r="X29" s="12">
        <v>502210</v>
      </c>
      <c r="Y29" s="12">
        <v>4718115</v>
      </c>
      <c r="Z29" s="12">
        <v>29</v>
      </c>
      <c r="AA29" s="12">
        <v>502085</v>
      </c>
      <c r="AB29" s="12">
        <v>4717900</v>
      </c>
      <c r="AC29" s="13">
        <v>-8.974583</v>
      </c>
      <c r="AD29" s="13">
        <v>42.613534</v>
      </c>
      <c r="AE29" s="7" t="s">
        <v>211</v>
      </c>
      <c r="AF29" s="7" t="s">
        <v>212</v>
      </c>
      <c r="AH29" s="32" t="s">
        <v>12</v>
      </c>
      <c r="AI29" s="14" t="s">
        <v>13</v>
      </c>
    </row>
    <row r="30" spans="1:35" ht="11.25">
      <c r="A30" s="5" t="s">
        <v>213</v>
      </c>
      <c r="B30" s="6" t="s">
        <v>187</v>
      </c>
      <c r="C30" s="6" t="s">
        <v>214</v>
      </c>
      <c r="D30" s="6" t="s">
        <v>215</v>
      </c>
      <c r="E30" s="7" t="s">
        <v>190</v>
      </c>
      <c r="G30" s="8">
        <v>547</v>
      </c>
      <c r="H30" s="9" t="str">
        <f>HYPERLINK("http://www.centcols.org/util/geo/visuGen.php?code=ES-C-0547","ES-C-0547")</f>
        <v>ES-C-0547</v>
      </c>
      <c r="I30" s="7" t="s">
        <v>216</v>
      </c>
      <c r="J30" s="7" t="s">
        <v>217</v>
      </c>
      <c r="K30" s="7"/>
      <c r="L30" s="4" t="s">
        <v>218</v>
      </c>
      <c r="N30" s="7"/>
      <c r="O30" s="7"/>
      <c r="P30" s="7"/>
      <c r="Q30" s="10"/>
      <c r="R30" s="11" t="s">
        <v>219</v>
      </c>
      <c r="S30" s="12">
        <v>20</v>
      </c>
      <c r="T30" s="12">
        <v>99</v>
      </c>
      <c r="U30" s="12"/>
      <c r="V30" s="7"/>
      <c r="W30" s="12">
        <v>29</v>
      </c>
      <c r="X30" s="12">
        <v>519895</v>
      </c>
      <c r="Y30" s="12">
        <v>4731923</v>
      </c>
      <c r="Z30" s="12">
        <v>29</v>
      </c>
      <c r="AA30" s="12">
        <v>519770</v>
      </c>
      <c r="AB30" s="12">
        <v>4731708</v>
      </c>
      <c r="AC30" s="13">
        <v>-8.758476</v>
      </c>
      <c r="AD30" s="13">
        <v>42.737632</v>
      </c>
      <c r="AE30" s="7" t="s">
        <v>220</v>
      </c>
      <c r="AF30" s="7" t="s">
        <v>221</v>
      </c>
      <c r="AH30" s="32" t="s">
        <v>12</v>
      </c>
      <c r="AI30" s="14" t="s">
        <v>13</v>
      </c>
    </row>
    <row r="31" spans="1:35" ht="11.25">
      <c r="A31" s="5" t="s">
        <v>222</v>
      </c>
      <c r="B31" s="6" t="s">
        <v>25</v>
      </c>
      <c r="C31" s="6" t="s">
        <v>223</v>
      </c>
      <c r="D31" s="6" t="s">
        <v>224</v>
      </c>
      <c r="E31" s="7" t="s">
        <v>225</v>
      </c>
      <c r="G31" s="8">
        <v>72</v>
      </c>
      <c r="H31" s="9" t="str">
        <f>HYPERLINK("http://www.centcols.org/util/geo/visuGen.php?code=ES-CA-0072","ES-CA-0072")</f>
        <v>ES-CA-0072</v>
      </c>
      <c r="I31" s="7" t="s">
        <v>226</v>
      </c>
      <c r="J31" s="7" t="s">
        <v>227</v>
      </c>
      <c r="K31" s="7"/>
      <c r="L31" s="4" t="s">
        <v>228</v>
      </c>
      <c r="M31" s="4" t="s">
        <v>229</v>
      </c>
      <c r="N31" s="7"/>
      <c r="O31" s="7"/>
      <c r="P31" s="7"/>
      <c r="Q31" s="10"/>
      <c r="R31" s="11" t="s">
        <v>230</v>
      </c>
      <c r="S31" s="12">
        <v>0</v>
      </c>
      <c r="T31" s="12">
        <v>0</v>
      </c>
      <c r="U31" s="12"/>
      <c r="V31" s="7"/>
      <c r="W31" s="12">
        <v>30</v>
      </c>
      <c r="X31" s="12">
        <v>264220</v>
      </c>
      <c r="Y31" s="12">
        <v>3997030</v>
      </c>
      <c r="Z31" s="12">
        <v>30</v>
      </c>
      <c r="AA31" s="12">
        <v>264107</v>
      </c>
      <c r="AB31" s="12">
        <v>3996826</v>
      </c>
      <c r="AC31" s="13">
        <v>-5.619941</v>
      </c>
      <c r="AD31" s="13">
        <v>36.087445</v>
      </c>
      <c r="AE31" s="7" t="s">
        <v>231</v>
      </c>
      <c r="AF31" s="7" t="s">
        <v>232</v>
      </c>
      <c r="AH31" s="32" t="s">
        <v>12</v>
      </c>
      <c r="AI31" s="14" t="s">
        <v>13</v>
      </c>
    </row>
    <row r="32" spans="1:35" ht="11.25">
      <c r="A32" s="5" t="s">
        <v>233</v>
      </c>
      <c r="B32" s="6" t="s">
        <v>234</v>
      </c>
      <c r="C32" s="6" t="s">
        <v>235</v>
      </c>
      <c r="D32" s="6" t="s">
        <v>236</v>
      </c>
      <c r="E32" s="7" t="s">
        <v>237</v>
      </c>
      <c r="G32" s="8">
        <v>480</v>
      </c>
      <c r="H32" s="9" t="str">
        <f>HYPERLINK("http://www.centcols.org/util/geo/visuGen.php?code=ES-CO-0480","ES-CO-0480")</f>
        <v>ES-CO-0480</v>
      </c>
      <c r="I32" s="7" t="s">
        <v>238</v>
      </c>
      <c r="J32" s="7" t="s">
        <v>239</v>
      </c>
      <c r="K32" s="7"/>
      <c r="L32" s="4" t="s">
        <v>240</v>
      </c>
      <c r="M32" s="4" t="s">
        <v>241</v>
      </c>
      <c r="N32" s="7"/>
      <c r="O32" s="7"/>
      <c r="P32" s="7"/>
      <c r="Q32" s="10"/>
      <c r="R32" s="11" t="s">
        <v>242</v>
      </c>
      <c r="S32" s="12">
        <v>0</v>
      </c>
      <c r="T32" s="12">
        <v>0</v>
      </c>
      <c r="U32" s="12"/>
      <c r="V32" s="7" t="s">
        <v>243</v>
      </c>
      <c r="W32" s="12">
        <v>30</v>
      </c>
      <c r="X32" s="12">
        <v>276420</v>
      </c>
      <c r="Y32" s="12">
        <v>4220650</v>
      </c>
      <c r="Z32" s="12">
        <v>30</v>
      </c>
      <c r="AA32" s="12">
        <v>276309</v>
      </c>
      <c r="AB32" s="12">
        <v>4220445</v>
      </c>
      <c r="AC32" s="13">
        <v>-5.551215</v>
      </c>
      <c r="AD32" s="13">
        <v>38.104147</v>
      </c>
      <c r="AE32" s="7" t="s">
        <v>244</v>
      </c>
      <c r="AF32" s="7" t="s">
        <v>245</v>
      </c>
      <c r="AH32" s="32" t="s">
        <v>1215</v>
      </c>
      <c r="AI32" s="14" t="s">
        <v>13</v>
      </c>
    </row>
    <row r="33" spans="1:35" ht="11.25">
      <c r="A33" s="5" t="s">
        <v>246</v>
      </c>
      <c r="B33" s="6" t="s">
        <v>178</v>
      </c>
      <c r="C33" s="6" t="s">
        <v>247</v>
      </c>
      <c r="D33" s="6" t="s">
        <v>248</v>
      </c>
      <c r="E33" s="7" t="s">
        <v>249</v>
      </c>
      <c r="G33" s="8">
        <v>715</v>
      </c>
      <c r="H33" s="9" t="str">
        <f>HYPERLINK("http://www.centcols.org/util/geo/visuGen.php?code=ES-CS-0715","ES-CS-0715")</f>
        <v>ES-CS-0715</v>
      </c>
      <c r="I33" s="7" t="s">
        <v>250</v>
      </c>
      <c r="J33" s="7" t="s">
        <v>251</v>
      </c>
      <c r="K33" s="7"/>
      <c r="L33" s="4" t="s">
        <v>252</v>
      </c>
      <c r="N33" s="7"/>
      <c r="O33" s="7"/>
      <c r="P33" s="7"/>
      <c r="Q33" s="10"/>
      <c r="R33" s="11" t="s">
        <v>38</v>
      </c>
      <c r="S33" s="12">
        <v>10</v>
      </c>
      <c r="T33" s="12">
        <v>35</v>
      </c>
      <c r="U33" s="12"/>
      <c r="V33" s="7"/>
      <c r="W33" s="12">
        <v>30</v>
      </c>
      <c r="X33" s="12">
        <v>720965</v>
      </c>
      <c r="Y33" s="12">
        <v>4431562</v>
      </c>
      <c r="Z33" s="12">
        <v>30</v>
      </c>
      <c r="AA33" s="12">
        <v>720855</v>
      </c>
      <c r="AB33" s="12">
        <v>4431353</v>
      </c>
      <c r="AC33" s="13">
        <v>-0.412673</v>
      </c>
      <c r="AD33" s="13">
        <v>40.003505</v>
      </c>
      <c r="AE33" s="7" t="s">
        <v>253</v>
      </c>
      <c r="AF33" s="7" t="s">
        <v>254</v>
      </c>
      <c r="AH33" s="32" t="s">
        <v>12</v>
      </c>
      <c r="AI33" s="14" t="s">
        <v>13</v>
      </c>
    </row>
    <row r="34" spans="1:35" ht="11.25">
      <c r="A34" s="5" t="s">
        <v>255</v>
      </c>
      <c r="B34" s="6" t="s">
        <v>256</v>
      </c>
      <c r="C34" s="6" t="s">
        <v>257</v>
      </c>
      <c r="D34" s="6" t="s">
        <v>258</v>
      </c>
      <c r="E34" s="7" t="s">
        <v>249</v>
      </c>
      <c r="G34" s="8">
        <v>735</v>
      </c>
      <c r="H34" s="9" t="str">
        <f>HYPERLINK("http://www.centcols.org/util/geo/visuGen.php?code=ES-CS-0735","ES-CS-0735")</f>
        <v>ES-CS-0735</v>
      </c>
      <c r="I34" s="7" t="s">
        <v>259</v>
      </c>
      <c r="J34" s="7" t="s">
        <v>260</v>
      </c>
      <c r="K34" s="7"/>
      <c r="L34" s="4" t="s">
        <v>261</v>
      </c>
      <c r="M34" s="4" t="s">
        <v>262</v>
      </c>
      <c r="N34" s="7"/>
      <c r="O34" s="7"/>
      <c r="P34" s="7"/>
      <c r="Q34" s="10"/>
      <c r="R34" s="11" t="s">
        <v>263</v>
      </c>
      <c r="S34" s="12">
        <v>0</v>
      </c>
      <c r="T34" s="12">
        <v>0</v>
      </c>
      <c r="U34" s="12"/>
      <c r="V34" s="7"/>
      <c r="W34" s="12">
        <v>30</v>
      </c>
      <c r="X34" s="12">
        <v>720416</v>
      </c>
      <c r="Y34" s="12">
        <v>4429634</v>
      </c>
      <c r="Z34" s="12">
        <v>30</v>
      </c>
      <c r="AA34" s="12">
        <v>720306</v>
      </c>
      <c r="AB34" s="12">
        <v>4429425</v>
      </c>
      <c r="AC34" s="13">
        <v>-0.419752</v>
      </c>
      <c r="AD34" s="13">
        <v>39.986295</v>
      </c>
      <c r="AE34" s="7" t="s">
        <v>264</v>
      </c>
      <c r="AF34" s="7" t="s">
        <v>265</v>
      </c>
      <c r="AH34" s="32" t="s">
        <v>12</v>
      </c>
      <c r="AI34" s="14" t="s">
        <v>13</v>
      </c>
    </row>
    <row r="35" spans="1:35" ht="11.25">
      <c r="A35" s="5" t="s">
        <v>266</v>
      </c>
      <c r="B35" s="6" t="s">
        <v>267</v>
      </c>
      <c r="C35" s="6" t="s">
        <v>223</v>
      </c>
      <c r="D35" s="6" t="s">
        <v>268</v>
      </c>
      <c r="E35" s="7" t="s">
        <v>249</v>
      </c>
      <c r="G35" s="8">
        <v>814</v>
      </c>
      <c r="H35" s="9" t="str">
        <f>HYPERLINK("http://www.centcols.org/util/geo/visuGen.php?code=ES-CS-0814a","ES-CS-0814a")</f>
        <v>ES-CS-0814a</v>
      </c>
      <c r="I35" s="7" t="s">
        <v>269</v>
      </c>
      <c r="J35" s="7" t="s">
        <v>270</v>
      </c>
      <c r="K35" s="7"/>
      <c r="L35" s="4" t="s">
        <v>271</v>
      </c>
      <c r="N35" s="7"/>
      <c r="O35" s="7"/>
      <c r="P35" s="7"/>
      <c r="Q35" s="10"/>
      <c r="R35" s="11" t="s">
        <v>38</v>
      </c>
      <c r="S35" s="12">
        <v>10</v>
      </c>
      <c r="T35" s="12">
        <v>35</v>
      </c>
      <c r="U35" s="12"/>
      <c r="V35" s="7"/>
      <c r="W35" s="12">
        <v>30</v>
      </c>
      <c r="X35" s="12">
        <v>712200</v>
      </c>
      <c r="Y35" s="12">
        <v>4430380</v>
      </c>
      <c r="Z35" s="12">
        <v>30</v>
      </c>
      <c r="AA35" s="12">
        <v>712090</v>
      </c>
      <c r="AB35" s="12">
        <v>4430171</v>
      </c>
      <c r="AC35" s="13">
        <v>-0.515649</v>
      </c>
      <c r="AD35" s="13">
        <v>39.995112</v>
      </c>
      <c r="AE35" s="7" t="s">
        <v>272</v>
      </c>
      <c r="AF35" s="7" t="s">
        <v>273</v>
      </c>
      <c r="AH35" s="32" t="s">
        <v>12</v>
      </c>
      <c r="AI35" s="14" t="s">
        <v>13</v>
      </c>
    </row>
    <row r="36" spans="1:35" ht="11.25">
      <c r="A36" s="5" t="s">
        <v>274</v>
      </c>
      <c r="B36" s="6" t="s">
        <v>178</v>
      </c>
      <c r="C36" s="6" t="s">
        <v>275</v>
      </c>
      <c r="D36" s="6" t="s">
        <v>276</v>
      </c>
      <c r="E36" s="7" t="s">
        <v>249</v>
      </c>
      <c r="G36" s="8">
        <v>876</v>
      </c>
      <c r="H36" s="9" t="str">
        <f>HYPERLINK("http://www.centcols.org/util/geo/visuGen.php?code=ES-CS-0876","ES-CS-0876")</f>
        <v>ES-CS-0876</v>
      </c>
      <c r="I36" s="7" t="s">
        <v>277</v>
      </c>
      <c r="J36" s="7" t="s">
        <v>278</v>
      </c>
      <c r="K36" s="7"/>
      <c r="L36" s="4" t="s">
        <v>279</v>
      </c>
      <c r="N36" s="7"/>
      <c r="O36" s="7"/>
      <c r="P36" s="7"/>
      <c r="Q36" s="10"/>
      <c r="R36" s="11"/>
      <c r="S36" s="12">
        <v>20</v>
      </c>
      <c r="T36" s="12">
        <v>99</v>
      </c>
      <c r="U36" s="12"/>
      <c r="V36" s="7"/>
      <c r="W36" s="12">
        <v>30</v>
      </c>
      <c r="X36" s="12">
        <v>701400</v>
      </c>
      <c r="Y36" s="12">
        <v>4415780</v>
      </c>
      <c r="Z36" s="12">
        <v>30</v>
      </c>
      <c r="AA36" s="12">
        <v>701290</v>
      </c>
      <c r="AB36" s="12">
        <v>4415571</v>
      </c>
      <c r="AC36" s="13">
        <v>-0.646561</v>
      </c>
      <c r="AD36" s="13">
        <v>39.866323</v>
      </c>
      <c r="AE36" s="7" t="s">
        <v>280</v>
      </c>
      <c r="AF36" s="7" t="s">
        <v>281</v>
      </c>
      <c r="AH36" s="32" t="s">
        <v>12</v>
      </c>
      <c r="AI36" s="14" t="s">
        <v>13</v>
      </c>
    </row>
    <row r="37" spans="1:35" ht="11.25">
      <c r="A37" s="5" t="s">
        <v>282</v>
      </c>
      <c r="B37" s="6" t="s">
        <v>283</v>
      </c>
      <c r="C37" s="6" t="s">
        <v>284</v>
      </c>
      <c r="D37" s="6" t="s">
        <v>285</v>
      </c>
      <c r="E37" s="7" t="s">
        <v>286</v>
      </c>
      <c r="G37" s="8">
        <v>865</v>
      </c>
      <c r="H37" s="9" t="str">
        <f>HYPERLINK("http://www.centcols.org/util/geo/visuGen.php?code=ES-CU-0865a","ES-CU-0865a")</f>
        <v>ES-CU-0865a</v>
      </c>
      <c r="I37" s="7" t="s">
        <v>287</v>
      </c>
      <c r="J37" s="7" t="s">
        <v>288</v>
      </c>
      <c r="K37" s="7"/>
      <c r="L37" s="4" t="s">
        <v>289</v>
      </c>
      <c r="N37" s="7"/>
      <c r="O37" s="7"/>
      <c r="P37" s="7"/>
      <c r="Q37" s="10"/>
      <c r="R37" s="11"/>
      <c r="S37" s="12">
        <v>20</v>
      </c>
      <c r="T37" s="12">
        <v>99</v>
      </c>
      <c r="U37" s="12"/>
      <c r="V37" s="7"/>
      <c r="W37" s="12">
        <v>30</v>
      </c>
      <c r="X37" s="12">
        <v>616450</v>
      </c>
      <c r="Y37" s="12">
        <v>4376484</v>
      </c>
      <c r="Z37" s="12">
        <v>30</v>
      </c>
      <c r="AA37" s="12">
        <v>616340</v>
      </c>
      <c r="AB37" s="12">
        <v>4376276</v>
      </c>
      <c r="AC37" s="13">
        <v>-1.64635</v>
      </c>
      <c r="AD37" s="13">
        <v>39.52826</v>
      </c>
      <c r="AE37" s="7" t="s">
        <v>290</v>
      </c>
      <c r="AF37" s="7" t="s">
        <v>291</v>
      </c>
      <c r="AH37" s="32" t="s">
        <v>12</v>
      </c>
      <c r="AI37" s="14" t="s">
        <v>13</v>
      </c>
    </row>
    <row r="38" spans="1:35" ht="11.25">
      <c r="A38" s="5" t="s">
        <v>292</v>
      </c>
      <c r="B38" s="6" t="s">
        <v>293</v>
      </c>
      <c r="C38" s="6" t="s">
        <v>294</v>
      </c>
      <c r="D38" s="6" t="s">
        <v>295</v>
      </c>
      <c r="E38" s="7" t="s">
        <v>296</v>
      </c>
      <c r="F38" s="5" t="s">
        <v>297</v>
      </c>
      <c r="G38" s="8">
        <v>1826</v>
      </c>
      <c r="H38" s="9" t="str">
        <f>HYPERLINK("http://www.centcols.org/util/geo/visuGen.php?code=ES-GC-0270","ES-GC-0270")</f>
        <v>ES-GC-0270</v>
      </c>
      <c r="I38" s="7" t="s">
        <v>298</v>
      </c>
      <c r="J38" s="7" t="s">
        <v>299</v>
      </c>
      <c r="K38" s="7"/>
      <c r="L38" s="4" t="s">
        <v>300</v>
      </c>
      <c r="N38" s="7"/>
      <c r="O38" s="7"/>
      <c r="P38" s="7"/>
      <c r="Q38" s="10"/>
      <c r="R38" s="11" t="s">
        <v>301</v>
      </c>
      <c r="S38" s="12">
        <v>0</v>
      </c>
      <c r="T38" s="12">
        <v>0</v>
      </c>
      <c r="U38" s="12"/>
      <c r="V38" s="7"/>
      <c r="W38" s="12"/>
      <c r="X38" s="12"/>
      <c r="Y38" s="12"/>
      <c r="Z38" s="12">
        <v>28</v>
      </c>
      <c r="AA38" s="12">
        <v>444921</v>
      </c>
      <c r="AB38" s="12">
        <v>3093573</v>
      </c>
      <c r="AC38" s="13">
        <v>-15.560007</v>
      </c>
      <c r="AD38" s="13">
        <v>27.966097</v>
      </c>
      <c r="AE38" s="7" t="s">
        <v>302</v>
      </c>
      <c r="AF38" s="7" t="s">
        <v>303</v>
      </c>
      <c r="AH38" s="32" t="s">
        <v>1216</v>
      </c>
      <c r="AI38" s="14" t="s">
        <v>13</v>
      </c>
    </row>
    <row r="39" spans="1:35" ht="11.25">
      <c r="A39" s="5" t="s">
        <v>304</v>
      </c>
      <c r="B39" s="6" t="s">
        <v>305</v>
      </c>
      <c r="C39" s="6" t="s">
        <v>306</v>
      </c>
      <c r="D39" s="6" t="s">
        <v>307</v>
      </c>
      <c r="E39" s="7" t="s">
        <v>308</v>
      </c>
      <c r="G39" s="8">
        <v>112</v>
      </c>
      <c r="H39" s="9" t="str">
        <f>HYPERLINK("http://www.centcols.org/util/geo/visuGen.php?code=ES-GI-0112","ES-GI-0112")</f>
        <v>ES-GI-0112</v>
      </c>
      <c r="I39" s="7" t="s">
        <v>309</v>
      </c>
      <c r="J39" s="7" t="s">
        <v>310</v>
      </c>
      <c r="K39" s="7" t="s">
        <v>311</v>
      </c>
      <c r="L39" s="4" t="s">
        <v>312</v>
      </c>
      <c r="N39" s="7"/>
      <c r="O39" s="7"/>
      <c r="P39" s="7"/>
      <c r="Q39" s="10"/>
      <c r="R39" s="11" t="s">
        <v>219</v>
      </c>
      <c r="S39" s="12">
        <v>20</v>
      </c>
      <c r="T39" s="12">
        <v>99</v>
      </c>
      <c r="U39" s="12"/>
      <c r="V39" s="7"/>
      <c r="W39" s="12">
        <v>31</v>
      </c>
      <c r="X39" s="12">
        <v>491605</v>
      </c>
      <c r="Y39" s="12">
        <v>4687506</v>
      </c>
      <c r="Z39" s="12">
        <v>31</v>
      </c>
      <c r="AA39" s="12">
        <v>491512</v>
      </c>
      <c r="AB39" s="12">
        <v>4687301</v>
      </c>
      <c r="AC39" s="13">
        <v>2.896965</v>
      </c>
      <c r="AD39" s="13">
        <v>42.33792</v>
      </c>
      <c r="AE39" s="7" t="s">
        <v>313</v>
      </c>
      <c r="AF39" s="7" t="s">
        <v>314</v>
      </c>
      <c r="AH39" s="32" t="s">
        <v>12</v>
      </c>
      <c r="AI39" s="14" t="s">
        <v>13</v>
      </c>
    </row>
    <row r="40" spans="1:35" ht="11.25">
      <c r="A40" s="5" t="s">
        <v>315</v>
      </c>
      <c r="B40" s="6" t="s">
        <v>52</v>
      </c>
      <c r="C40" s="6" t="s">
        <v>316</v>
      </c>
      <c r="D40" s="6" t="s">
        <v>317</v>
      </c>
      <c r="E40" s="7" t="s">
        <v>308</v>
      </c>
      <c r="G40" s="8">
        <v>236</v>
      </c>
      <c r="H40" s="9" t="str">
        <f>HYPERLINK("http://www.centcols.org/util/geo/visuGen.php?code=ES-GI-0235a","ES-GI-0235a")</f>
        <v>ES-GI-0235a</v>
      </c>
      <c r="I40" s="7" t="s">
        <v>318</v>
      </c>
      <c r="J40" s="7" t="s">
        <v>319</v>
      </c>
      <c r="K40" s="7" t="s">
        <v>320</v>
      </c>
      <c r="L40" s="4" t="s">
        <v>321</v>
      </c>
      <c r="N40" s="7"/>
      <c r="O40" s="7"/>
      <c r="P40" s="7"/>
      <c r="Q40" s="10"/>
      <c r="R40" s="11" t="s">
        <v>322</v>
      </c>
      <c r="S40" s="12">
        <v>15</v>
      </c>
      <c r="T40" s="12">
        <v>2</v>
      </c>
      <c r="U40" s="12"/>
      <c r="V40" s="7"/>
      <c r="W40" s="12">
        <v>31</v>
      </c>
      <c r="X40" s="12">
        <v>510708</v>
      </c>
      <c r="Y40" s="12">
        <v>4696355</v>
      </c>
      <c r="Z40" s="12">
        <v>31</v>
      </c>
      <c r="AA40" s="12">
        <v>510615</v>
      </c>
      <c r="AB40" s="12">
        <v>4696150</v>
      </c>
      <c r="AC40" s="13">
        <v>3.129025</v>
      </c>
      <c r="AD40" s="13">
        <v>42.417588</v>
      </c>
      <c r="AE40" s="7" t="s">
        <v>323</v>
      </c>
      <c r="AF40" s="7" t="s">
        <v>324</v>
      </c>
      <c r="AH40" s="32" t="s">
        <v>12</v>
      </c>
      <c r="AI40" s="14" t="s">
        <v>13</v>
      </c>
    </row>
    <row r="41" spans="1:35" ht="11.25">
      <c r="A41" s="5" t="s">
        <v>325</v>
      </c>
      <c r="B41" s="6" t="s">
        <v>326</v>
      </c>
      <c r="C41" s="6" t="s">
        <v>327</v>
      </c>
      <c r="D41" s="6" t="s">
        <v>328</v>
      </c>
      <c r="E41" s="7" t="s">
        <v>308</v>
      </c>
      <c r="G41" s="8">
        <v>410</v>
      </c>
      <c r="H41" s="9" t="str">
        <f>HYPERLINK("http://www.centcols.org/util/geo/visuGen.php?code=ES-GI-0395","ES-GI-0395")</f>
        <v>ES-GI-0395</v>
      </c>
      <c r="I41" s="7" t="s">
        <v>329</v>
      </c>
      <c r="J41" s="7" t="s">
        <v>330</v>
      </c>
      <c r="K41" s="7" t="s">
        <v>331</v>
      </c>
      <c r="L41" s="4" t="s">
        <v>332</v>
      </c>
      <c r="N41" s="7"/>
      <c r="O41" s="7"/>
      <c r="P41" s="7"/>
      <c r="Q41" s="10"/>
      <c r="R41" s="11" t="s">
        <v>333</v>
      </c>
      <c r="S41" s="12">
        <v>10</v>
      </c>
      <c r="T41" s="12">
        <v>2</v>
      </c>
      <c r="U41" s="12"/>
      <c r="V41" s="7"/>
      <c r="W41" s="12">
        <v>31</v>
      </c>
      <c r="X41" s="12">
        <v>507907</v>
      </c>
      <c r="Y41" s="12">
        <v>4695237</v>
      </c>
      <c r="Z41" s="12">
        <v>31</v>
      </c>
      <c r="AA41" s="12">
        <v>507814</v>
      </c>
      <c r="AB41" s="12">
        <v>4695032</v>
      </c>
      <c r="AC41" s="13">
        <v>3.094965</v>
      </c>
      <c r="AD41" s="13">
        <v>42.407552</v>
      </c>
      <c r="AE41" s="7" t="s">
        <v>334</v>
      </c>
      <c r="AF41" s="7" t="s">
        <v>335</v>
      </c>
      <c r="AH41" s="32" t="s">
        <v>12</v>
      </c>
      <c r="AI41" s="14" t="s">
        <v>13</v>
      </c>
    </row>
    <row r="42" spans="1:35" ht="11.25">
      <c r="A42" s="5" t="s">
        <v>336</v>
      </c>
      <c r="B42" s="6" t="s">
        <v>106</v>
      </c>
      <c r="C42" s="6" t="s">
        <v>337</v>
      </c>
      <c r="D42" s="6" t="s">
        <v>338</v>
      </c>
      <c r="E42" s="7" t="s">
        <v>308</v>
      </c>
      <c r="G42" s="8">
        <v>482</v>
      </c>
      <c r="H42" s="9" t="str">
        <f>HYPERLINK("http://www.centcols.org/util/geo/visuGen.php?code=ES-GI-0550a","ES-GI-0550a")</f>
        <v>ES-GI-0550a</v>
      </c>
      <c r="I42" s="7" t="s">
        <v>339</v>
      </c>
      <c r="J42" s="7" t="s">
        <v>340</v>
      </c>
      <c r="K42" s="7" t="s">
        <v>341</v>
      </c>
      <c r="L42" s="4" t="s">
        <v>342</v>
      </c>
      <c r="N42" s="7"/>
      <c r="O42" s="7"/>
      <c r="P42" s="7"/>
      <c r="Q42" s="10"/>
      <c r="R42" s="11" t="s">
        <v>79</v>
      </c>
      <c r="S42" s="12">
        <v>15</v>
      </c>
      <c r="T42" s="12">
        <v>99</v>
      </c>
      <c r="U42" s="12"/>
      <c r="V42" s="7"/>
      <c r="W42" s="12">
        <v>31</v>
      </c>
      <c r="X42" s="12">
        <v>464751</v>
      </c>
      <c r="Y42" s="12">
        <v>4642005</v>
      </c>
      <c r="Z42" s="12">
        <v>31</v>
      </c>
      <c r="AA42" s="12">
        <v>464658</v>
      </c>
      <c r="AB42" s="12">
        <v>4641800</v>
      </c>
      <c r="AC42" s="13">
        <v>2.573737</v>
      </c>
      <c r="AD42" s="13">
        <v>41.927372</v>
      </c>
      <c r="AE42" s="7" t="s">
        <v>343</v>
      </c>
      <c r="AF42" s="7" t="s">
        <v>344</v>
      </c>
      <c r="AH42" s="32" t="s">
        <v>12</v>
      </c>
      <c r="AI42" s="14" t="s">
        <v>13</v>
      </c>
    </row>
    <row r="43" spans="1:35" ht="11.25">
      <c r="A43" s="5" t="s">
        <v>345</v>
      </c>
      <c r="B43" s="6" t="s">
        <v>346</v>
      </c>
      <c r="C43" s="6" t="s">
        <v>347</v>
      </c>
      <c r="D43" s="6" t="s">
        <v>348</v>
      </c>
      <c r="E43" s="7" t="s">
        <v>308</v>
      </c>
      <c r="G43" s="8">
        <v>658</v>
      </c>
      <c r="H43" s="9" t="str">
        <f>HYPERLINK("http://www.centcols.org/util/geo/visuGen.php?code=ES-GI-0650b","ES-GI-0650b")</f>
        <v>ES-GI-0650b</v>
      </c>
      <c r="I43" s="7" t="s">
        <v>349</v>
      </c>
      <c r="J43" s="7" t="s">
        <v>350</v>
      </c>
      <c r="K43" s="7" t="s">
        <v>351</v>
      </c>
      <c r="L43" s="4" t="s">
        <v>352</v>
      </c>
      <c r="N43" s="7"/>
      <c r="O43" s="7"/>
      <c r="P43" s="7"/>
      <c r="Q43" s="10"/>
      <c r="R43" s="11" t="s">
        <v>353</v>
      </c>
      <c r="S43" s="12">
        <v>10</v>
      </c>
      <c r="T43" s="12">
        <v>1</v>
      </c>
      <c r="U43" s="12"/>
      <c r="V43" s="7"/>
      <c r="W43" s="12">
        <v>31</v>
      </c>
      <c r="X43" s="12">
        <v>478802</v>
      </c>
      <c r="Y43" s="12">
        <v>4677824</v>
      </c>
      <c r="Z43" s="12">
        <v>31</v>
      </c>
      <c r="AA43" s="12">
        <v>478709</v>
      </c>
      <c r="AB43" s="12">
        <v>4677619</v>
      </c>
      <c r="AC43" s="13">
        <v>2.741904</v>
      </c>
      <c r="AD43" s="13">
        <v>42.250479</v>
      </c>
      <c r="AE43" s="7" t="s">
        <v>354</v>
      </c>
      <c r="AF43" s="7" t="s">
        <v>355</v>
      </c>
      <c r="AH43" s="32" t="s">
        <v>12</v>
      </c>
      <c r="AI43" s="14" t="s">
        <v>13</v>
      </c>
    </row>
    <row r="44" spans="1:35" ht="11.25">
      <c r="A44" s="5" t="s">
        <v>356</v>
      </c>
      <c r="B44" s="6" t="s">
        <v>357</v>
      </c>
      <c r="C44" s="6" t="s">
        <v>358</v>
      </c>
      <c r="D44" s="6" t="s">
        <v>359</v>
      </c>
      <c r="E44" s="7" t="s">
        <v>308</v>
      </c>
      <c r="G44" s="8">
        <v>737</v>
      </c>
      <c r="H44" s="9" t="str">
        <f>HYPERLINK("http://www.centcols.org/util/geo/visuGen.php?code=ES-GI-0737a","ES-GI-0737a")</f>
        <v>ES-GI-0737a</v>
      </c>
      <c r="I44" s="7" t="s">
        <v>360</v>
      </c>
      <c r="J44" s="7" t="s">
        <v>361</v>
      </c>
      <c r="K44" s="7" t="s">
        <v>362</v>
      </c>
      <c r="L44" s="4" t="s">
        <v>363</v>
      </c>
      <c r="N44" s="7"/>
      <c r="O44" s="7"/>
      <c r="P44" s="7"/>
      <c r="Q44" s="10"/>
      <c r="R44" s="11" t="s">
        <v>79</v>
      </c>
      <c r="S44" s="12">
        <v>15</v>
      </c>
      <c r="T44" s="12">
        <v>99</v>
      </c>
      <c r="U44" s="12"/>
      <c r="V44" s="7"/>
      <c r="W44" s="12">
        <v>31</v>
      </c>
      <c r="X44" s="12">
        <v>466067</v>
      </c>
      <c r="Y44" s="12">
        <v>4640217</v>
      </c>
      <c r="Z44" s="12">
        <v>31</v>
      </c>
      <c r="AA44" s="12">
        <v>465974</v>
      </c>
      <c r="AB44" s="12">
        <v>4640012</v>
      </c>
      <c r="AC44" s="13">
        <v>2.589711</v>
      </c>
      <c r="AD44" s="13">
        <v>41.911326</v>
      </c>
      <c r="AE44" s="7" t="s">
        <v>364</v>
      </c>
      <c r="AF44" s="7" t="s">
        <v>365</v>
      </c>
      <c r="AH44" s="32" t="s">
        <v>12</v>
      </c>
      <c r="AI44" s="14" t="s">
        <v>13</v>
      </c>
    </row>
    <row r="45" spans="1:35" ht="11.25">
      <c r="A45" s="5" t="s">
        <v>366</v>
      </c>
      <c r="B45" s="6" t="s">
        <v>52</v>
      </c>
      <c r="C45" s="6" t="s">
        <v>367</v>
      </c>
      <c r="D45" s="6" t="s">
        <v>368</v>
      </c>
      <c r="E45" s="7" t="s">
        <v>308</v>
      </c>
      <c r="G45" s="8">
        <v>805</v>
      </c>
      <c r="H45" s="9" t="str">
        <f>HYPERLINK("http://www.centcols.org/util/geo/visuGen.php?code=ES-GI-0805b","ES-GI-0805b")</f>
        <v>ES-GI-0805b</v>
      </c>
      <c r="I45" s="7"/>
      <c r="J45" s="7"/>
      <c r="K45" s="7"/>
      <c r="L45" s="4"/>
      <c r="N45" s="7"/>
      <c r="O45" s="7"/>
      <c r="P45" s="7"/>
      <c r="Q45" s="10"/>
      <c r="R45" s="11" t="s">
        <v>38</v>
      </c>
      <c r="S45" s="12">
        <v>0</v>
      </c>
      <c r="T45" s="12">
        <v>0</v>
      </c>
      <c r="U45" s="12"/>
      <c r="V45" s="7"/>
      <c r="W45" s="12"/>
      <c r="X45" s="12"/>
      <c r="Y45" s="12"/>
      <c r="Z45" s="12"/>
      <c r="AA45" s="12"/>
      <c r="AB45" s="12"/>
      <c r="AC45" s="13">
        <v>2.72255</v>
      </c>
      <c r="AD45" s="13">
        <v>42.24996</v>
      </c>
      <c r="AE45" s="7"/>
      <c r="AF45" s="7"/>
      <c r="AH45" s="32"/>
      <c r="AI45" s="15" t="s">
        <v>39</v>
      </c>
    </row>
    <row r="46" spans="1:35" ht="11.25">
      <c r="A46" s="5" t="s">
        <v>369</v>
      </c>
      <c r="B46" s="6" t="s">
        <v>52</v>
      </c>
      <c r="C46" s="6" t="s">
        <v>370</v>
      </c>
      <c r="D46" s="6" t="s">
        <v>371</v>
      </c>
      <c r="E46" s="7" t="s">
        <v>308</v>
      </c>
      <c r="G46" s="8">
        <v>846</v>
      </c>
      <c r="H46" s="9" t="str">
        <f>HYPERLINK("http://www.centcols.org/util/geo/visuGen.php?code=ES-GI-0845a","ES-GI-0845a")</f>
        <v>ES-GI-0845a</v>
      </c>
      <c r="I46" s="7" t="s">
        <v>372</v>
      </c>
      <c r="J46" s="7" t="s">
        <v>373</v>
      </c>
      <c r="K46" s="7" t="s">
        <v>12</v>
      </c>
      <c r="L46" s="4" t="s">
        <v>374</v>
      </c>
      <c r="N46" s="7"/>
      <c r="O46" s="7"/>
      <c r="P46" s="7"/>
      <c r="Q46" s="10"/>
      <c r="R46" s="11"/>
      <c r="S46" s="12">
        <v>20</v>
      </c>
      <c r="T46" s="12">
        <v>99</v>
      </c>
      <c r="U46" s="12"/>
      <c r="V46" s="7"/>
      <c r="W46" s="12">
        <v>31</v>
      </c>
      <c r="X46" s="12">
        <v>471098</v>
      </c>
      <c r="Y46" s="12">
        <v>4682232</v>
      </c>
      <c r="Z46" s="12">
        <v>31</v>
      </c>
      <c r="AA46" s="12">
        <v>471005</v>
      </c>
      <c r="AB46" s="12">
        <v>4682028</v>
      </c>
      <c r="AC46" s="13">
        <v>2.648296</v>
      </c>
      <c r="AD46" s="13">
        <v>42.28993</v>
      </c>
      <c r="AE46" s="7" t="s">
        <v>375</v>
      </c>
      <c r="AF46" s="7" t="s">
        <v>376</v>
      </c>
      <c r="AH46" s="32" t="s">
        <v>12</v>
      </c>
      <c r="AI46" s="14" t="s">
        <v>13</v>
      </c>
    </row>
    <row r="47" spans="1:35" ht="22.5">
      <c r="A47" s="5" t="s">
        <v>377</v>
      </c>
      <c r="B47" s="6" t="s">
        <v>378</v>
      </c>
      <c r="C47" s="6" t="s">
        <v>379</v>
      </c>
      <c r="D47" s="6" t="s">
        <v>380</v>
      </c>
      <c r="E47" s="7" t="s">
        <v>308</v>
      </c>
      <c r="G47" s="8">
        <v>1548</v>
      </c>
      <c r="H47" s="9" t="str">
        <f>HYPERLINK("http://www.centcols.org/util/geo/visuGen.php?code=ES-GI-0985c","ES-GI-0985c")</f>
        <v>ES-GI-0985c</v>
      </c>
      <c r="I47" s="7" t="s">
        <v>381</v>
      </c>
      <c r="J47" s="7" t="s">
        <v>382</v>
      </c>
      <c r="K47" s="7" t="s">
        <v>383</v>
      </c>
      <c r="L47" s="4" t="s">
        <v>384</v>
      </c>
      <c r="N47" s="7"/>
      <c r="O47" s="7"/>
      <c r="P47" s="7"/>
      <c r="Q47" s="10"/>
      <c r="R47" s="11" t="s">
        <v>38</v>
      </c>
      <c r="S47" s="12">
        <v>10</v>
      </c>
      <c r="T47" s="12">
        <v>35</v>
      </c>
      <c r="U47" s="12"/>
      <c r="V47" s="7"/>
      <c r="W47" s="12">
        <v>31</v>
      </c>
      <c r="X47" s="12">
        <v>450176</v>
      </c>
      <c r="Y47" s="12">
        <v>4628789</v>
      </c>
      <c r="Z47" s="12">
        <v>31</v>
      </c>
      <c r="AA47" s="12">
        <v>450083</v>
      </c>
      <c r="AB47" s="12">
        <v>4628584</v>
      </c>
      <c r="AC47" s="13">
        <v>2.399069</v>
      </c>
      <c r="AD47" s="13">
        <v>41.807558</v>
      </c>
      <c r="AE47" s="7" t="s">
        <v>385</v>
      </c>
      <c r="AF47" s="7" t="s">
        <v>386</v>
      </c>
      <c r="AH47" s="32" t="s">
        <v>1217</v>
      </c>
      <c r="AI47" s="14" t="s">
        <v>13</v>
      </c>
    </row>
    <row r="48" spans="1:35" ht="11.25">
      <c r="A48" s="5" t="s">
        <v>387</v>
      </c>
      <c r="B48" s="6" t="s">
        <v>52</v>
      </c>
      <c r="C48" s="6" t="s">
        <v>388</v>
      </c>
      <c r="D48" s="6" t="s">
        <v>389</v>
      </c>
      <c r="E48" s="7" t="s">
        <v>308</v>
      </c>
      <c r="G48" s="8">
        <v>1070</v>
      </c>
      <c r="H48" s="9" t="str">
        <f>HYPERLINK("http://www.centcols.org/util/geo/visuGen.php?code=ES-GI-1070","ES-GI-1070")</f>
        <v>ES-GI-1070</v>
      </c>
      <c r="I48" s="7"/>
      <c r="J48" s="7"/>
      <c r="K48" s="7"/>
      <c r="L48" s="4"/>
      <c r="N48" s="7"/>
      <c r="O48" s="7"/>
      <c r="P48" s="7"/>
      <c r="Q48" s="10"/>
      <c r="R48" s="11" t="s">
        <v>38</v>
      </c>
      <c r="S48" s="12">
        <v>0</v>
      </c>
      <c r="T48" s="12">
        <v>0</v>
      </c>
      <c r="U48" s="12"/>
      <c r="V48" s="7"/>
      <c r="W48" s="12"/>
      <c r="X48" s="12"/>
      <c r="Y48" s="12"/>
      <c r="Z48" s="12"/>
      <c r="AA48" s="12"/>
      <c r="AB48" s="12"/>
      <c r="AC48" s="13">
        <v>2.72255</v>
      </c>
      <c r="AD48" s="13">
        <v>42.24996</v>
      </c>
      <c r="AE48" s="7"/>
      <c r="AF48" s="7"/>
      <c r="AH48" s="32"/>
      <c r="AI48" s="15" t="s">
        <v>39</v>
      </c>
    </row>
    <row r="49" spans="1:35" ht="22.5">
      <c r="A49" s="33" t="s">
        <v>1218</v>
      </c>
      <c r="B49" s="37" t="s">
        <v>1219</v>
      </c>
      <c r="C49" s="37" t="s">
        <v>1220</v>
      </c>
      <c r="D49" s="37" t="s">
        <v>1221</v>
      </c>
      <c r="E49" s="16" t="s">
        <v>308</v>
      </c>
      <c r="F49" s="33"/>
      <c r="G49" s="40">
        <v>1227</v>
      </c>
      <c r="H49" s="18" t="str">
        <f>HYPERLINK("http://www.centcols.org/util/geo/visuGen.php?code=ES-GI-1215a","ES-GI-1215a")</f>
        <v>ES-GI-1215a</v>
      </c>
      <c r="I49" s="20" t="s">
        <v>1222</v>
      </c>
      <c r="J49" s="20" t="s">
        <v>1223</v>
      </c>
      <c r="K49" s="16" t="s">
        <v>1224</v>
      </c>
      <c r="L49" s="20" t="s">
        <v>1225</v>
      </c>
      <c r="M49" s="19"/>
      <c r="N49" s="16" t="s">
        <v>12</v>
      </c>
      <c r="O49" s="16" t="s">
        <v>12</v>
      </c>
      <c r="P49" s="16" t="s">
        <v>12</v>
      </c>
      <c r="Q49" s="20"/>
      <c r="R49" s="33" t="s">
        <v>219</v>
      </c>
      <c r="S49" s="19">
        <v>20</v>
      </c>
      <c r="T49" s="19">
        <v>99</v>
      </c>
      <c r="U49" s="19"/>
      <c r="V49" s="19" t="s">
        <v>1226</v>
      </c>
      <c r="W49" s="19">
        <v>31</v>
      </c>
      <c r="X49" s="19">
        <v>480076</v>
      </c>
      <c r="Y49" s="19">
        <v>4697240</v>
      </c>
      <c r="Z49" s="19">
        <v>31</v>
      </c>
      <c r="AA49" s="19">
        <v>479974</v>
      </c>
      <c r="AB49" s="19">
        <v>4697037</v>
      </c>
      <c r="AC49" s="19">
        <v>2.7565644</v>
      </c>
      <c r="AD49" s="19">
        <v>42.4253913</v>
      </c>
      <c r="AE49" s="16" t="s">
        <v>1227</v>
      </c>
      <c r="AF49" s="16" t="s">
        <v>1228</v>
      </c>
      <c r="AG49" s="24" t="s">
        <v>1229</v>
      </c>
      <c r="AH49" s="39" t="s">
        <v>12</v>
      </c>
      <c r="AI49" s="25" t="s">
        <v>1172</v>
      </c>
    </row>
    <row r="50" spans="1:35" ht="22.5">
      <c r="A50" s="33" t="s">
        <v>1230</v>
      </c>
      <c r="B50" s="33" t="s">
        <v>877</v>
      </c>
      <c r="C50" s="33" t="s">
        <v>878</v>
      </c>
      <c r="D50" s="33" t="s">
        <v>879</v>
      </c>
      <c r="E50" s="16" t="s">
        <v>308</v>
      </c>
      <c r="F50" s="33"/>
      <c r="G50" s="34">
        <v>1328</v>
      </c>
      <c r="H50" s="18" t="str">
        <f>HYPERLINK("http://www.centcols.org/util/geo/visuGen.php?code=ES-GI-1328","ES-GI-1328")</f>
        <v>ES-GI-1328</v>
      </c>
      <c r="I50" s="16" t="s">
        <v>1231</v>
      </c>
      <c r="J50" s="16" t="s">
        <v>1232</v>
      </c>
      <c r="K50" s="33"/>
      <c r="L50" s="19" t="s">
        <v>1233</v>
      </c>
      <c r="M50" s="19"/>
      <c r="N50" s="16" t="s">
        <v>12</v>
      </c>
      <c r="O50" s="16" t="s">
        <v>12</v>
      </c>
      <c r="P50" s="16" t="s">
        <v>12</v>
      </c>
      <c r="Q50" s="20"/>
      <c r="R50" s="21" t="s">
        <v>12</v>
      </c>
      <c r="S50" s="22">
        <v>20</v>
      </c>
      <c r="T50" s="22">
        <v>99</v>
      </c>
      <c r="U50" s="39" t="s">
        <v>12</v>
      </c>
      <c r="V50" s="16" t="s">
        <v>883</v>
      </c>
      <c r="W50" s="22">
        <v>31</v>
      </c>
      <c r="X50" s="22">
        <v>459930</v>
      </c>
      <c r="Y50" s="22">
        <v>4687537</v>
      </c>
      <c r="Z50" s="22">
        <v>31</v>
      </c>
      <c r="AA50" s="22">
        <v>459838</v>
      </c>
      <c r="AB50" s="22">
        <v>4687332</v>
      </c>
      <c r="AC50" s="35">
        <v>2.512468</v>
      </c>
      <c r="AD50" s="35">
        <v>42.337209</v>
      </c>
      <c r="AE50" s="16" t="s">
        <v>1234</v>
      </c>
      <c r="AF50" s="16" t="s">
        <v>1235</v>
      </c>
      <c r="AG50" s="24" t="s">
        <v>1236</v>
      </c>
      <c r="AH50" s="39" t="s">
        <v>1237</v>
      </c>
      <c r="AI50" s="25" t="s">
        <v>1172</v>
      </c>
    </row>
    <row r="51" spans="1:35" ht="22.5">
      <c r="A51" s="5" t="s">
        <v>390</v>
      </c>
      <c r="B51" s="6" t="s">
        <v>391</v>
      </c>
      <c r="C51" s="6" t="s">
        <v>392</v>
      </c>
      <c r="D51" s="6" t="s">
        <v>393</v>
      </c>
      <c r="E51" s="7" t="s">
        <v>308</v>
      </c>
      <c r="G51" s="8">
        <v>1322</v>
      </c>
      <c r="H51" s="9" t="str">
        <f>HYPERLINK("http://www.centcols.org/util/geo/visuGen.php?code=ES-GI-1329","ES-GI-1329")</f>
        <v>ES-GI-1329</v>
      </c>
      <c r="I51" s="7" t="s">
        <v>394</v>
      </c>
      <c r="J51" s="7" t="s">
        <v>395</v>
      </c>
      <c r="K51" s="7" t="s">
        <v>396</v>
      </c>
      <c r="L51" s="4" t="s">
        <v>397</v>
      </c>
      <c r="N51" s="7"/>
      <c r="O51" s="7"/>
      <c r="P51" s="7"/>
      <c r="Q51" s="10"/>
      <c r="R51" s="11" t="s">
        <v>79</v>
      </c>
      <c r="S51" s="12">
        <v>15</v>
      </c>
      <c r="T51" s="12">
        <v>99</v>
      </c>
      <c r="U51" s="12"/>
      <c r="V51" s="7" t="s">
        <v>398</v>
      </c>
      <c r="W51" s="12">
        <v>31</v>
      </c>
      <c r="X51" s="12">
        <v>475850</v>
      </c>
      <c r="Y51" s="12">
        <v>4695895</v>
      </c>
      <c r="Z51" s="12">
        <v>31</v>
      </c>
      <c r="AA51" s="12">
        <v>475757</v>
      </c>
      <c r="AB51" s="12">
        <v>4695690</v>
      </c>
      <c r="AC51" s="13">
        <v>2.705363</v>
      </c>
      <c r="AD51" s="13">
        <v>42.41314</v>
      </c>
      <c r="AE51" s="7" t="s">
        <v>399</v>
      </c>
      <c r="AF51" s="7" t="s">
        <v>400</v>
      </c>
      <c r="AH51" s="32" t="s">
        <v>12</v>
      </c>
      <c r="AI51" s="14" t="s">
        <v>13</v>
      </c>
    </row>
    <row r="52" spans="1:35" ht="11.25">
      <c r="A52" s="33" t="s">
        <v>1238</v>
      </c>
      <c r="B52" s="33" t="s">
        <v>1239</v>
      </c>
      <c r="C52" s="33" t="s">
        <v>1240</v>
      </c>
      <c r="D52" s="37" t="s">
        <v>1241</v>
      </c>
      <c r="E52" s="16" t="s">
        <v>308</v>
      </c>
      <c r="F52" s="33"/>
      <c r="G52" s="34">
        <v>1380</v>
      </c>
      <c r="H52" s="18" t="str">
        <f>HYPERLINK("http://www.centcols.org/util/geo/visuGen.php?code=ES-GI-1377","ES-GI-1377")</f>
        <v>ES-GI-1377</v>
      </c>
      <c r="I52" s="16" t="s">
        <v>1242</v>
      </c>
      <c r="J52" s="16" t="s">
        <v>1243</v>
      </c>
      <c r="K52" s="20" t="s">
        <v>1244</v>
      </c>
      <c r="L52" s="19" t="s">
        <v>1245</v>
      </c>
      <c r="M52" s="19"/>
      <c r="N52" s="16" t="s">
        <v>12</v>
      </c>
      <c r="O52" s="16" t="s">
        <v>12</v>
      </c>
      <c r="P52" s="16" t="s">
        <v>12</v>
      </c>
      <c r="Q52" s="20"/>
      <c r="R52" s="21" t="s">
        <v>139</v>
      </c>
      <c r="S52" s="22">
        <v>10</v>
      </c>
      <c r="T52" s="22">
        <v>2</v>
      </c>
      <c r="U52" s="22"/>
      <c r="V52" s="16" t="s">
        <v>1246</v>
      </c>
      <c r="W52" s="22">
        <v>31</v>
      </c>
      <c r="X52" s="22">
        <v>456294</v>
      </c>
      <c r="Y52" s="22">
        <v>4689759</v>
      </c>
      <c r="Z52" s="22">
        <v>31</v>
      </c>
      <c r="AA52" s="22">
        <v>456201</v>
      </c>
      <c r="AB52" s="22">
        <v>4689555</v>
      </c>
      <c r="AC52" s="35">
        <v>2.468157</v>
      </c>
      <c r="AD52" s="35">
        <v>42.357028</v>
      </c>
      <c r="AE52" s="16" t="s">
        <v>1247</v>
      </c>
      <c r="AF52" s="16" t="s">
        <v>1248</v>
      </c>
      <c r="AG52" s="24" t="s">
        <v>552</v>
      </c>
      <c r="AH52" s="39" t="s">
        <v>12</v>
      </c>
      <c r="AI52" s="25" t="s">
        <v>1172</v>
      </c>
    </row>
    <row r="53" spans="1:35" ht="11.25">
      <c r="A53" s="5" t="s">
        <v>401</v>
      </c>
      <c r="B53" s="6" t="s">
        <v>52</v>
      </c>
      <c r="C53" s="6" t="s">
        <v>402</v>
      </c>
      <c r="D53" s="6" t="s">
        <v>403</v>
      </c>
      <c r="E53" s="7" t="s">
        <v>308</v>
      </c>
      <c r="G53" s="8">
        <v>1373</v>
      </c>
      <c r="H53" s="9" t="str">
        <f>HYPERLINK("http://www.centcols.org/util/geo/visuGen.php?code=ES-GI-1420","ES-GI-1420")</f>
        <v>ES-GI-1420</v>
      </c>
      <c r="I53" s="7" t="s">
        <v>404</v>
      </c>
      <c r="J53" s="7" t="s">
        <v>405</v>
      </c>
      <c r="K53" s="7" t="s">
        <v>406</v>
      </c>
      <c r="L53" s="4" t="s">
        <v>407</v>
      </c>
      <c r="N53" s="7"/>
      <c r="O53" s="7"/>
      <c r="P53" s="7"/>
      <c r="Q53" s="10"/>
      <c r="R53" s="11" t="s">
        <v>79</v>
      </c>
      <c r="S53" s="12">
        <v>15</v>
      </c>
      <c r="T53" s="12">
        <v>99</v>
      </c>
      <c r="U53" s="12"/>
      <c r="V53" s="7" t="s">
        <v>408</v>
      </c>
      <c r="W53" s="12">
        <v>31</v>
      </c>
      <c r="X53" s="12">
        <v>477121</v>
      </c>
      <c r="Y53" s="12">
        <v>4696891</v>
      </c>
      <c r="Z53" s="12">
        <v>31</v>
      </c>
      <c r="AA53" s="12">
        <v>477028</v>
      </c>
      <c r="AB53" s="12">
        <v>4696686</v>
      </c>
      <c r="AC53" s="13">
        <v>2.720771</v>
      </c>
      <c r="AD53" s="13">
        <v>42.422149</v>
      </c>
      <c r="AE53" s="7" t="s">
        <v>409</v>
      </c>
      <c r="AF53" s="7" t="s">
        <v>410</v>
      </c>
      <c r="AH53" s="32" t="s">
        <v>12</v>
      </c>
      <c r="AI53" s="14" t="s">
        <v>13</v>
      </c>
    </row>
    <row r="54" spans="1:35" ht="11.25">
      <c r="A54" s="33" t="s">
        <v>1249</v>
      </c>
      <c r="B54" s="33" t="s">
        <v>985</v>
      </c>
      <c r="C54" s="33" t="s">
        <v>1250</v>
      </c>
      <c r="D54" s="33" t="s">
        <v>1251</v>
      </c>
      <c r="E54" s="16" t="s">
        <v>308</v>
      </c>
      <c r="F54" s="33"/>
      <c r="G54" s="34">
        <v>1437</v>
      </c>
      <c r="H54" s="18" t="str">
        <f>HYPERLINK("http://www.centcols.org/util/geo/visuGen.php?code=ES-GI-1436","ES-GI-1436")</f>
        <v>ES-GI-1436</v>
      </c>
      <c r="I54" s="16" t="s">
        <v>1252</v>
      </c>
      <c r="J54" s="16" t="s">
        <v>1253</v>
      </c>
      <c r="K54" s="20" t="s">
        <v>1254</v>
      </c>
      <c r="L54" s="19" t="s">
        <v>1255</v>
      </c>
      <c r="M54" s="19"/>
      <c r="N54" s="16" t="s">
        <v>12</v>
      </c>
      <c r="O54" s="16" t="s">
        <v>12</v>
      </c>
      <c r="P54" s="16" t="s">
        <v>12</v>
      </c>
      <c r="Q54" s="20"/>
      <c r="R54" s="21" t="s">
        <v>139</v>
      </c>
      <c r="S54" s="22">
        <v>10</v>
      </c>
      <c r="T54" s="22">
        <v>2</v>
      </c>
      <c r="U54" s="22"/>
      <c r="V54" s="16" t="s">
        <v>1256</v>
      </c>
      <c r="W54" s="22">
        <v>31</v>
      </c>
      <c r="X54" s="22">
        <v>456097</v>
      </c>
      <c r="Y54" s="22">
        <v>4690189</v>
      </c>
      <c r="Z54" s="22">
        <v>31</v>
      </c>
      <c r="AA54" s="22">
        <v>456004</v>
      </c>
      <c r="AB54" s="22">
        <v>4689985</v>
      </c>
      <c r="AC54" s="35">
        <v>2.465732</v>
      </c>
      <c r="AD54" s="35">
        <v>42.360889</v>
      </c>
      <c r="AE54" s="16" t="s">
        <v>1257</v>
      </c>
      <c r="AF54" s="16" t="s">
        <v>1258</v>
      </c>
      <c r="AG54" s="24" t="s">
        <v>957</v>
      </c>
      <c r="AH54" s="39" t="s">
        <v>1259</v>
      </c>
      <c r="AI54" s="25" t="s">
        <v>1172</v>
      </c>
    </row>
    <row r="55" spans="1:35" ht="11.25">
      <c r="A55" s="5" t="s">
        <v>411</v>
      </c>
      <c r="B55" s="6" t="s">
        <v>48</v>
      </c>
      <c r="C55" s="6" t="s">
        <v>412</v>
      </c>
      <c r="D55" s="6" t="s">
        <v>413</v>
      </c>
      <c r="E55" s="7" t="s">
        <v>308</v>
      </c>
      <c r="G55" s="8">
        <v>948</v>
      </c>
      <c r="H55" s="9" t="str">
        <f>HYPERLINK("http://www.centcols.org/util/geo/visuGen.php?code=ES-GI-1579","ES-GI-1579")</f>
        <v>ES-GI-1579</v>
      </c>
      <c r="I55" s="7" t="s">
        <v>414</v>
      </c>
      <c r="J55" s="7" t="s">
        <v>415</v>
      </c>
      <c r="K55" s="7" t="s">
        <v>416</v>
      </c>
      <c r="L55" s="4" t="s">
        <v>417</v>
      </c>
      <c r="N55" s="7"/>
      <c r="O55" s="7"/>
      <c r="P55" s="7"/>
      <c r="Q55" s="10"/>
      <c r="R55" s="11" t="s">
        <v>38</v>
      </c>
      <c r="S55" s="12">
        <v>10</v>
      </c>
      <c r="T55" s="12">
        <v>35</v>
      </c>
      <c r="U55" s="12"/>
      <c r="V55" s="7"/>
      <c r="W55" s="12">
        <v>31</v>
      </c>
      <c r="X55" s="12">
        <v>454453</v>
      </c>
      <c r="Y55" s="12">
        <v>4629202</v>
      </c>
      <c r="Z55" s="12">
        <v>31</v>
      </c>
      <c r="AA55" s="12">
        <v>454360</v>
      </c>
      <c r="AB55" s="12">
        <v>4628997</v>
      </c>
      <c r="AC55" s="13">
        <v>2.450523</v>
      </c>
      <c r="AD55" s="13">
        <v>41.811535</v>
      </c>
      <c r="AE55" s="7" t="s">
        <v>418</v>
      </c>
      <c r="AF55" s="7" t="s">
        <v>419</v>
      </c>
      <c r="AH55" s="36" t="s">
        <v>1260</v>
      </c>
      <c r="AI55" s="14" t="s">
        <v>13</v>
      </c>
    </row>
    <row r="56" spans="1:35" ht="11.25">
      <c r="A56" s="5" t="s">
        <v>420</v>
      </c>
      <c r="B56" s="6" t="s">
        <v>2</v>
      </c>
      <c r="C56" s="6" t="s">
        <v>421</v>
      </c>
      <c r="D56" s="6" t="s">
        <v>421</v>
      </c>
      <c r="E56" s="7" t="s">
        <v>308</v>
      </c>
      <c r="G56" s="8">
        <v>1807</v>
      </c>
      <c r="H56" s="9" t="str">
        <f>HYPERLINK("http://www.centcols.org/util/geo/visuGen.php?code=ES-GI-1805","ES-GI-1805")</f>
        <v>ES-GI-1805</v>
      </c>
      <c r="I56" s="7" t="s">
        <v>422</v>
      </c>
      <c r="J56" s="7" t="s">
        <v>423</v>
      </c>
      <c r="K56" s="7" t="s">
        <v>424</v>
      </c>
      <c r="L56" s="4" t="s">
        <v>425</v>
      </c>
      <c r="N56" s="7"/>
      <c r="O56" s="7"/>
      <c r="P56" s="7"/>
      <c r="Q56" s="10"/>
      <c r="R56" s="11"/>
      <c r="S56" s="12">
        <v>20</v>
      </c>
      <c r="T56" s="12">
        <v>99</v>
      </c>
      <c r="U56" s="12"/>
      <c r="V56" s="7"/>
      <c r="W56" s="12">
        <v>31</v>
      </c>
      <c r="X56" s="12">
        <v>433380</v>
      </c>
      <c r="Y56" s="12">
        <v>4690518</v>
      </c>
      <c r="Z56" s="12">
        <v>31</v>
      </c>
      <c r="AA56" s="12">
        <v>433287</v>
      </c>
      <c r="AB56" s="12">
        <v>4690314</v>
      </c>
      <c r="AC56" s="13">
        <v>2.189846</v>
      </c>
      <c r="AD56" s="13">
        <v>42.362234</v>
      </c>
      <c r="AE56" s="7" t="s">
        <v>426</v>
      </c>
      <c r="AF56" s="7" t="s">
        <v>427</v>
      </c>
      <c r="AH56" s="32" t="s">
        <v>12</v>
      </c>
      <c r="AI56" s="14" t="s">
        <v>13</v>
      </c>
    </row>
    <row r="57" spans="1:35" ht="11.25">
      <c r="A57" s="5" t="s">
        <v>428</v>
      </c>
      <c r="B57" s="6" t="s">
        <v>429</v>
      </c>
      <c r="C57" s="6" t="s">
        <v>430</v>
      </c>
      <c r="D57" s="6" t="s">
        <v>431</v>
      </c>
      <c r="E57" s="7" t="s">
        <v>308</v>
      </c>
      <c r="G57" s="8">
        <v>2613</v>
      </c>
      <c r="H57" s="9" t="str">
        <f>HYPERLINK("http://www.centcols.org/util/geo/visuGen.php?code=ES-GI-2501","ES-GI-2501")</f>
        <v>ES-GI-2501</v>
      </c>
      <c r="I57" s="7" t="s">
        <v>432</v>
      </c>
      <c r="J57" s="7" t="s">
        <v>433</v>
      </c>
      <c r="K57" s="7" t="s">
        <v>434</v>
      </c>
      <c r="L57" s="4" t="s">
        <v>435</v>
      </c>
      <c r="N57" s="7"/>
      <c r="O57" s="7"/>
      <c r="P57" s="7"/>
      <c r="Q57" s="10"/>
      <c r="R57" s="11" t="s">
        <v>436</v>
      </c>
      <c r="S57" s="12">
        <v>10</v>
      </c>
      <c r="T57" s="12">
        <v>3</v>
      </c>
      <c r="U57" s="12"/>
      <c r="V57" s="7" t="s">
        <v>437</v>
      </c>
      <c r="W57" s="12">
        <v>31</v>
      </c>
      <c r="X57" s="12">
        <v>425353</v>
      </c>
      <c r="Y57" s="12">
        <v>4691973</v>
      </c>
      <c r="Z57" s="12">
        <v>31</v>
      </c>
      <c r="AA57" s="12">
        <v>425260</v>
      </c>
      <c r="AB57" s="12">
        <v>4691769</v>
      </c>
      <c r="AC57" s="13">
        <v>2.09219</v>
      </c>
      <c r="AD57" s="13">
        <v>42.374607</v>
      </c>
      <c r="AE57" s="7" t="s">
        <v>438</v>
      </c>
      <c r="AF57" s="7" t="s">
        <v>439</v>
      </c>
      <c r="AH57" s="32" t="s">
        <v>12</v>
      </c>
      <c r="AI57" s="14" t="s">
        <v>13</v>
      </c>
    </row>
    <row r="58" spans="1:35" ht="11.25">
      <c r="A58" s="5" t="s">
        <v>440</v>
      </c>
      <c r="B58" s="6" t="s">
        <v>441</v>
      </c>
      <c r="C58" s="6" t="s">
        <v>442</v>
      </c>
      <c r="D58" s="6" t="s">
        <v>443</v>
      </c>
      <c r="E58" s="7" t="s">
        <v>444</v>
      </c>
      <c r="G58" s="8">
        <v>1745</v>
      </c>
      <c r="H58" s="9" t="str">
        <f>HYPERLINK("http://www.centcols.org/util/geo/visuGen.php?code=ES-GR-1745","ES-GR-1745")</f>
        <v>ES-GR-1745</v>
      </c>
      <c r="I58" s="7" t="s">
        <v>445</v>
      </c>
      <c r="J58" s="7" t="s">
        <v>446</v>
      </c>
      <c r="K58" s="7"/>
      <c r="L58" s="4" t="s">
        <v>447</v>
      </c>
      <c r="N58" s="7"/>
      <c r="O58" s="7"/>
      <c r="P58" s="7"/>
      <c r="Q58" s="10"/>
      <c r="R58" s="11" t="s">
        <v>79</v>
      </c>
      <c r="S58" s="12">
        <v>15</v>
      </c>
      <c r="T58" s="12">
        <v>99</v>
      </c>
      <c r="U58" s="12"/>
      <c r="V58" s="7"/>
      <c r="W58" s="12">
        <v>30</v>
      </c>
      <c r="X58" s="12">
        <v>456700</v>
      </c>
      <c r="Y58" s="12">
        <v>4129850</v>
      </c>
      <c r="Z58" s="12">
        <v>30</v>
      </c>
      <c r="AA58" s="12">
        <v>456588</v>
      </c>
      <c r="AB58" s="12">
        <v>4129644</v>
      </c>
      <c r="AC58" s="13">
        <v>-3.489914</v>
      </c>
      <c r="AD58" s="13">
        <v>37.312424</v>
      </c>
      <c r="AE58" s="7" t="s">
        <v>448</v>
      </c>
      <c r="AF58" s="7" t="s">
        <v>449</v>
      </c>
      <c r="AH58" s="32" t="s">
        <v>12</v>
      </c>
      <c r="AI58" s="14" t="s">
        <v>13</v>
      </c>
    </row>
    <row r="59" spans="1:35" ht="11.25">
      <c r="A59" s="5" t="s">
        <v>450</v>
      </c>
      <c r="B59" s="6" t="s">
        <v>451</v>
      </c>
      <c r="C59" s="6" t="s">
        <v>452</v>
      </c>
      <c r="D59" s="6" t="s">
        <v>453</v>
      </c>
      <c r="E59" s="7" t="s">
        <v>454</v>
      </c>
      <c r="G59" s="8">
        <v>1076</v>
      </c>
      <c r="H59" s="9" t="str">
        <f>HYPERLINK("http://www.centcols.org/util/geo/visuGen.php?code=ES-GU-1076","ES-GU-1076")</f>
        <v>ES-GU-1076</v>
      </c>
      <c r="I59" s="7" t="s">
        <v>455</v>
      </c>
      <c r="J59" s="7" t="s">
        <v>456</v>
      </c>
      <c r="K59" s="7"/>
      <c r="L59" s="4" t="s">
        <v>457</v>
      </c>
      <c r="N59" s="7"/>
      <c r="O59" s="7"/>
      <c r="P59" s="7"/>
      <c r="Q59" s="10"/>
      <c r="R59" s="11" t="s">
        <v>38</v>
      </c>
      <c r="S59" s="12">
        <v>10</v>
      </c>
      <c r="T59" s="12">
        <v>35</v>
      </c>
      <c r="U59" s="12"/>
      <c r="V59" s="7"/>
      <c r="W59" s="12">
        <v>30</v>
      </c>
      <c r="X59" s="12">
        <v>555241</v>
      </c>
      <c r="Y59" s="12">
        <v>4519954</v>
      </c>
      <c r="Z59" s="12">
        <v>30</v>
      </c>
      <c r="AA59" s="12">
        <v>555132</v>
      </c>
      <c r="AB59" s="12">
        <v>4519746</v>
      </c>
      <c r="AC59" s="13">
        <v>-2.346169</v>
      </c>
      <c r="AD59" s="13">
        <v>40.826884</v>
      </c>
      <c r="AE59" s="7" t="s">
        <v>458</v>
      </c>
      <c r="AF59" s="7" t="s">
        <v>459</v>
      </c>
      <c r="AH59" s="32" t="s">
        <v>12</v>
      </c>
      <c r="AI59" s="14" t="s">
        <v>13</v>
      </c>
    </row>
    <row r="60" spans="1:35" ht="11.25">
      <c r="A60" s="5" t="s">
        <v>460</v>
      </c>
      <c r="B60" s="6" t="s">
        <v>461</v>
      </c>
      <c r="C60" s="6" t="s">
        <v>462</v>
      </c>
      <c r="D60" s="6" t="s">
        <v>463</v>
      </c>
      <c r="E60" s="7" t="s">
        <v>454</v>
      </c>
      <c r="G60" s="8">
        <v>1458</v>
      </c>
      <c r="H60" s="9" t="str">
        <f>HYPERLINK("http://www.centcols.org/util/geo/visuGen.php?code=ES-GU-1458","ES-GU-1458")</f>
        <v>ES-GU-1458</v>
      </c>
      <c r="I60" s="7" t="s">
        <v>464</v>
      </c>
      <c r="J60" s="7" t="s">
        <v>465</v>
      </c>
      <c r="K60" s="7"/>
      <c r="L60" s="4" t="s">
        <v>466</v>
      </c>
      <c r="N60" s="7"/>
      <c r="O60" s="7"/>
      <c r="P60" s="7"/>
      <c r="Q60" s="10"/>
      <c r="R60" s="11"/>
      <c r="S60" s="12">
        <v>20</v>
      </c>
      <c r="T60" s="12">
        <v>99</v>
      </c>
      <c r="U60" s="12"/>
      <c r="V60" s="7" t="s">
        <v>467</v>
      </c>
      <c r="W60" s="12">
        <v>30</v>
      </c>
      <c r="X60" s="12">
        <v>464620</v>
      </c>
      <c r="Y60" s="12">
        <v>4535420</v>
      </c>
      <c r="Z60" s="12">
        <v>30</v>
      </c>
      <c r="AA60" s="12">
        <v>464511</v>
      </c>
      <c r="AB60" s="12">
        <v>4535212</v>
      </c>
      <c r="AC60" s="13">
        <v>-3.421767</v>
      </c>
      <c r="AD60" s="13">
        <v>40.967297</v>
      </c>
      <c r="AE60" s="7" t="s">
        <v>468</v>
      </c>
      <c r="AF60" s="7" t="s">
        <v>469</v>
      </c>
      <c r="AH60" s="36" t="s">
        <v>1261</v>
      </c>
      <c r="AI60" s="14" t="s">
        <v>13</v>
      </c>
    </row>
    <row r="61" spans="1:35" ht="11.25">
      <c r="A61" s="5" t="s">
        <v>470</v>
      </c>
      <c r="B61" s="6" t="s">
        <v>178</v>
      </c>
      <c r="C61" s="6" t="s">
        <v>471</v>
      </c>
      <c r="D61" s="6" t="s">
        <v>472</v>
      </c>
      <c r="E61" s="7" t="s">
        <v>473</v>
      </c>
      <c r="G61" s="8">
        <v>258</v>
      </c>
      <c r="H61" s="9" t="str">
        <f>HYPERLINK("http://www.centcols.org/util/geo/visuGen.php?code=ES-H-0258a","ES-H-0258a")</f>
        <v>ES-H-0258a</v>
      </c>
      <c r="I61" s="7" t="s">
        <v>474</v>
      </c>
      <c r="J61" s="7" t="s">
        <v>475</v>
      </c>
      <c r="K61" s="7"/>
      <c r="L61" s="4" t="s">
        <v>476</v>
      </c>
      <c r="M61" s="4" t="s">
        <v>477</v>
      </c>
      <c r="N61" s="7"/>
      <c r="O61" s="7"/>
      <c r="P61" s="7"/>
      <c r="Q61" s="10"/>
      <c r="R61" s="11" t="s">
        <v>478</v>
      </c>
      <c r="S61" s="12">
        <v>0</v>
      </c>
      <c r="T61" s="12">
        <v>0</v>
      </c>
      <c r="U61" s="12"/>
      <c r="V61" s="7"/>
      <c r="W61" s="12">
        <v>29</v>
      </c>
      <c r="X61" s="12">
        <v>717570</v>
      </c>
      <c r="Y61" s="12">
        <v>4156445</v>
      </c>
      <c r="Z61" s="12">
        <v>29</v>
      </c>
      <c r="AA61" s="12">
        <v>717445</v>
      </c>
      <c r="AB61" s="12">
        <v>4156234</v>
      </c>
      <c r="AC61" s="13">
        <v>-6.539238</v>
      </c>
      <c r="AD61" s="13">
        <v>37.527466</v>
      </c>
      <c r="AE61" s="7" t="s">
        <v>479</v>
      </c>
      <c r="AF61" s="7" t="s">
        <v>480</v>
      </c>
      <c r="AH61" s="32" t="s">
        <v>12</v>
      </c>
      <c r="AI61" s="14" t="s">
        <v>13</v>
      </c>
    </row>
    <row r="62" spans="1:35" ht="11.25">
      <c r="A62" s="5" t="s">
        <v>481</v>
      </c>
      <c r="B62" s="6" t="s">
        <v>158</v>
      </c>
      <c r="C62" s="6" t="s">
        <v>482</v>
      </c>
      <c r="D62" s="6" t="s">
        <v>483</v>
      </c>
      <c r="E62" s="7" t="s">
        <v>473</v>
      </c>
      <c r="G62" s="8">
        <v>408</v>
      </c>
      <c r="H62" s="9" t="str">
        <f>HYPERLINK("http://www.centcols.org/util/geo/visuGen.php?code=ES-H-0408","ES-H-0408")</f>
        <v>ES-H-0408</v>
      </c>
      <c r="I62" s="7" t="s">
        <v>484</v>
      </c>
      <c r="J62" s="7" t="s">
        <v>485</v>
      </c>
      <c r="K62" s="7"/>
      <c r="L62" s="4" t="s">
        <v>486</v>
      </c>
      <c r="M62" s="4" t="s">
        <v>487</v>
      </c>
      <c r="N62" s="7"/>
      <c r="O62" s="7"/>
      <c r="P62" s="7"/>
      <c r="Q62" s="10"/>
      <c r="R62" s="11" t="s">
        <v>488</v>
      </c>
      <c r="S62" s="12">
        <v>0</v>
      </c>
      <c r="T62" s="12">
        <v>0</v>
      </c>
      <c r="U62" s="12"/>
      <c r="V62" s="7"/>
      <c r="W62" s="12">
        <v>29</v>
      </c>
      <c r="X62" s="12">
        <v>686838</v>
      </c>
      <c r="Y62" s="12">
        <v>4224725</v>
      </c>
      <c r="Z62" s="12">
        <v>29</v>
      </c>
      <c r="AA62" s="12">
        <v>686714</v>
      </c>
      <c r="AB62" s="12">
        <v>4224514</v>
      </c>
      <c r="AC62" s="13">
        <v>-6.869144</v>
      </c>
      <c r="AD62" s="13">
        <v>38.149193</v>
      </c>
      <c r="AE62" s="7" t="s">
        <v>489</v>
      </c>
      <c r="AF62" s="7" t="s">
        <v>490</v>
      </c>
      <c r="AH62" s="32"/>
      <c r="AI62" s="14" t="s">
        <v>13</v>
      </c>
    </row>
    <row r="63" spans="1:35" ht="11.25">
      <c r="A63" s="5" t="s">
        <v>491</v>
      </c>
      <c r="B63" s="6" t="s">
        <v>2</v>
      </c>
      <c r="C63" s="6" t="s">
        <v>492</v>
      </c>
      <c r="D63" s="6" t="s">
        <v>492</v>
      </c>
      <c r="E63" s="7" t="s">
        <v>473</v>
      </c>
      <c r="G63" s="8">
        <v>595</v>
      </c>
      <c r="H63" s="9" t="str">
        <f>HYPERLINK("http://www.centcols.org/util/geo/visuGen.php?code=ES-H-0593","ES-H-0593")</f>
        <v>ES-H-0593</v>
      </c>
      <c r="I63" s="7" t="s">
        <v>493</v>
      </c>
      <c r="J63" s="7" t="s">
        <v>494</v>
      </c>
      <c r="K63" s="7"/>
      <c r="L63" s="4" t="s">
        <v>495</v>
      </c>
      <c r="N63" s="7"/>
      <c r="O63" s="7"/>
      <c r="P63" s="7"/>
      <c r="Q63" s="10"/>
      <c r="R63" s="11" t="s">
        <v>38</v>
      </c>
      <c r="S63" s="12">
        <v>10</v>
      </c>
      <c r="T63" s="12">
        <v>35</v>
      </c>
      <c r="U63" s="12"/>
      <c r="V63" s="7"/>
      <c r="W63" s="12">
        <v>29</v>
      </c>
      <c r="X63" s="12">
        <v>715075</v>
      </c>
      <c r="Y63" s="12">
        <v>4200161</v>
      </c>
      <c r="Z63" s="12">
        <v>29</v>
      </c>
      <c r="AA63" s="12">
        <v>714950</v>
      </c>
      <c r="AB63" s="12">
        <v>4199949</v>
      </c>
      <c r="AC63" s="13">
        <v>-6.554523</v>
      </c>
      <c r="AD63" s="13">
        <v>37.921715</v>
      </c>
      <c r="AE63" s="7" t="s">
        <v>496</v>
      </c>
      <c r="AF63" s="7" t="s">
        <v>497</v>
      </c>
      <c r="AH63" s="32"/>
      <c r="AI63" s="14" t="s">
        <v>13</v>
      </c>
    </row>
    <row r="64" spans="1:35" ht="11.25">
      <c r="A64" s="5" t="s">
        <v>498</v>
      </c>
      <c r="B64" s="6" t="s">
        <v>499</v>
      </c>
      <c r="C64" s="6" t="s">
        <v>500</v>
      </c>
      <c r="D64" s="6" t="s">
        <v>501</v>
      </c>
      <c r="E64" s="7" t="s">
        <v>502</v>
      </c>
      <c r="G64" s="8">
        <v>1463</v>
      </c>
      <c r="H64" s="9" t="str">
        <f>HYPERLINK("http://www.centcols.org/util/geo/visuGen.php?code=ES-HU-1463","ES-HU-1463")</f>
        <v>ES-HU-1463</v>
      </c>
      <c r="I64" s="7" t="s">
        <v>503</v>
      </c>
      <c r="J64" s="7" t="s">
        <v>504</v>
      </c>
      <c r="K64" s="7"/>
      <c r="L64" s="4" t="s">
        <v>505</v>
      </c>
      <c r="N64" s="7"/>
      <c r="O64" s="7"/>
      <c r="P64" s="7"/>
      <c r="Q64" s="10"/>
      <c r="R64" s="11" t="s">
        <v>219</v>
      </c>
      <c r="S64" s="12">
        <v>20</v>
      </c>
      <c r="T64" s="12">
        <v>99</v>
      </c>
      <c r="U64" s="12"/>
      <c r="V64" s="7"/>
      <c r="W64" s="12">
        <v>30</v>
      </c>
      <c r="X64" s="12">
        <v>703675</v>
      </c>
      <c r="Y64" s="12">
        <v>4738754</v>
      </c>
      <c r="Z64" s="12">
        <v>30</v>
      </c>
      <c r="AA64" s="12">
        <v>703568</v>
      </c>
      <c r="AB64" s="12">
        <v>4738544</v>
      </c>
      <c r="AC64" s="13">
        <v>-0.511721</v>
      </c>
      <c r="AD64" s="13">
        <v>42.772403</v>
      </c>
      <c r="AE64" s="7" t="s">
        <v>506</v>
      </c>
      <c r="AF64" s="7" t="s">
        <v>507</v>
      </c>
      <c r="AH64" s="32" t="s">
        <v>12</v>
      </c>
      <c r="AI64" s="14" t="s">
        <v>13</v>
      </c>
    </row>
    <row r="65" spans="1:35" ht="11.25">
      <c r="A65" s="33" t="s">
        <v>1262</v>
      </c>
      <c r="B65" s="33" t="s">
        <v>52</v>
      </c>
      <c r="C65" s="33" t="s">
        <v>1263</v>
      </c>
      <c r="D65" s="33" t="s">
        <v>1264</v>
      </c>
      <c r="E65" s="16" t="s">
        <v>502</v>
      </c>
      <c r="F65" s="33"/>
      <c r="G65" s="40">
        <v>1636</v>
      </c>
      <c r="H65" s="18" t="str">
        <f>HYPERLINK("http://www.centcols.org/util/geo/visuGen.php?code=ES-HU-1634a","ES-HU-1634a")</f>
        <v>ES-HU-1634a</v>
      </c>
      <c r="I65" s="20" t="s">
        <v>1265</v>
      </c>
      <c r="J65" s="20" t="s">
        <v>1266</v>
      </c>
      <c r="K65" s="33"/>
      <c r="L65" s="20" t="s">
        <v>1267</v>
      </c>
      <c r="M65" s="19"/>
      <c r="N65" s="16" t="s">
        <v>12</v>
      </c>
      <c r="O65" s="16" t="s">
        <v>12</v>
      </c>
      <c r="P65" s="16" t="s">
        <v>12</v>
      </c>
      <c r="Q65" s="20"/>
      <c r="R65" s="33" t="s">
        <v>1268</v>
      </c>
      <c r="S65" s="19">
        <v>15</v>
      </c>
      <c r="T65" s="19">
        <v>99</v>
      </c>
      <c r="U65" s="19"/>
      <c r="V65" s="19" t="s">
        <v>1269</v>
      </c>
      <c r="W65" s="19">
        <v>30</v>
      </c>
      <c r="X65" s="19">
        <v>700747</v>
      </c>
      <c r="Y65" s="19">
        <v>4740202</v>
      </c>
      <c r="Z65" s="19">
        <v>30</v>
      </c>
      <c r="AA65" s="19">
        <v>700634</v>
      </c>
      <c r="AB65" s="19">
        <v>4739991</v>
      </c>
      <c r="AC65" s="19">
        <v>-0.5470375</v>
      </c>
      <c r="AD65" s="19">
        <v>42.7861986</v>
      </c>
      <c r="AE65" s="16" t="s">
        <v>1270</v>
      </c>
      <c r="AF65" s="16" t="s">
        <v>1271</v>
      </c>
      <c r="AG65" s="24" t="s">
        <v>957</v>
      </c>
      <c r="AH65" s="39" t="s">
        <v>1272</v>
      </c>
      <c r="AI65" s="25" t="s">
        <v>1172</v>
      </c>
    </row>
    <row r="66" spans="1:35" ht="11.25">
      <c r="A66" s="5" t="s">
        <v>508</v>
      </c>
      <c r="B66" s="6" t="s">
        <v>234</v>
      </c>
      <c r="C66" s="6" t="s">
        <v>509</v>
      </c>
      <c r="D66" s="6" t="s">
        <v>510</v>
      </c>
      <c r="E66" s="7" t="s">
        <v>502</v>
      </c>
      <c r="G66" s="8">
        <v>2428</v>
      </c>
      <c r="H66" s="9" t="str">
        <f>HYPERLINK("http://www.centcols.org/util/geo/visuGen.php?code=ES-HU-1821","ES-HU-1821")</f>
        <v>ES-HU-1821</v>
      </c>
      <c r="I66" s="7" t="s">
        <v>511</v>
      </c>
      <c r="J66" s="7" t="s">
        <v>512</v>
      </c>
      <c r="K66" s="7"/>
      <c r="L66" s="4" t="s">
        <v>513</v>
      </c>
      <c r="N66" s="7"/>
      <c r="O66" s="7"/>
      <c r="P66" s="7"/>
      <c r="Q66" s="10"/>
      <c r="R66" s="11" t="s">
        <v>79</v>
      </c>
      <c r="S66" s="12">
        <v>15</v>
      </c>
      <c r="T66" s="12">
        <v>99</v>
      </c>
      <c r="U66" s="12"/>
      <c r="V66" s="7" t="s">
        <v>514</v>
      </c>
      <c r="W66" s="12">
        <v>31</v>
      </c>
      <c r="X66" s="12">
        <v>270209</v>
      </c>
      <c r="Y66" s="12">
        <v>4735082</v>
      </c>
      <c r="Z66" s="12">
        <v>31</v>
      </c>
      <c r="AA66" s="12">
        <v>270117</v>
      </c>
      <c r="AB66" s="12">
        <v>4734879</v>
      </c>
      <c r="AC66" s="13">
        <v>0.191899</v>
      </c>
      <c r="AD66" s="13">
        <v>42.731999</v>
      </c>
      <c r="AE66" s="7" t="s">
        <v>515</v>
      </c>
      <c r="AF66" s="7" t="s">
        <v>516</v>
      </c>
      <c r="AH66" s="36" t="s">
        <v>1273</v>
      </c>
      <c r="AI66" s="14" t="s">
        <v>13</v>
      </c>
    </row>
    <row r="67" spans="1:35" ht="11.25">
      <c r="A67" s="5" t="s">
        <v>517</v>
      </c>
      <c r="B67" s="6" t="s">
        <v>518</v>
      </c>
      <c r="C67" s="6" t="s">
        <v>519</v>
      </c>
      <c r="D67" s="6" t="s">
        <v>520</v>
      </c>
      <c r="E67" s="7" t="s">
        <v>502</v>
      </c>
      <c r="G67" s="8">
        <v>1957</v>
      </c>
      <c r="H67" s="9" t="str">
        <f>HYPERLINK("http://www.centcols.org/util/geo/visuGen.php?code=ES-HU-1957a","ES-HU-1957a")</f>
        <v>ES-HU-1957a</v>
      </c>
      <c r="I67" s="7" t="s">
        <v>521</v>
      </c>
      <c r="J67" s="7" t="s">
        <v>522</v>
      </c>
      <c r="K67" s="7"/>
      <c r="L67" s="4" t="s">
        <v>523</v>
      </c>
      <c r="N67" s="7"/>
      <c r="O67" s="7"/>
      <c r="P67" s="7"/>
      <c r="Q67" s="10"/>
      <c r="R67" s="11" t="s">
        <v>219</v>
      </c>
      <c r="S67" s="12">
        <v>20</v>
      </c>
      <c r="T67" s="12">
        <v>99</v>
      </c>
      <c r="U67" s="12"/>
      <c r="V67" s="7"/>
      <c r="W67" s="12">
        <v>30</v>
      </c>
      <c r="X67" s="12">
        <v>680822</v>
      </c>
      <c r="Y67" s="12">
        <v>4745652</v>
      </c>
      <c r="Z67" s="12">
        <v>30</v>
      </c>
      <c r="AA67" s="12">
        <v>680715</v>
      </c>
      <c r="AB67" s="12">
        <v>4745442</v>
      </c>
      <c r="AC67" s="13">
        <v>-0.788628</v>
      </c>
      <c r="AD67" s="13">
        <v>42.840203</v>
      </c>
      <c r="AE67" s="7" t="s">
        <v>524</v>
      </c>
      <c r="AF67" s="7" t="s">
        <v>525</v>
      </c>
      <c r="AH67" s="32" t="s">
        <v>12</v>
      </c>
      <c r="AI67" s="14" t="s">
        <v>13</v>
      </c>
    </row>
    <row r="68" spans="1:35" ht="11.25">
      <c r="A68" s="33" t="s">
        <v>1274</v>
      </c>
      <c r="B68" s="33" t="s">
        <v>910</v>
      </c>
      <c r="C68" s="33" t="s">
        <v>1275</v>
      </c>
      <c r="D68" s="33" t="s">
        <v>1276</v>
      </c>
      <c r="E68" s="16" t="s">
        <v>502</v>
      </c>
      <c r="F68" s="33"/>
      <c r="G68" s="34">
        <v>2277</v>
      </c>
      <c r="H68" s="18" t="str">
        <f>HYPERLINK("http://www.centcols.org/util/geo/visuGen.php?code=ES-HU-2277","ES-HU-2277")</f>
        <v>ES-HU-2277</v>
      </c>
      <c r="I68" s="16" t="s">
        <v>1277</v>
      </c>
      <c r="J68" s="16" t="s">
        <v>1278</v>
      </c>
      <c r="K68" s="16"/>
      <c r="L68" s="19" t="s">
        <v>1279</v>
      </c>
      <c r="M68" s="19"/>
      <c r="N68" s="16" t="s">
        <v>12</v>
      </c>
      <c r="O68" s="16" t="s">
        <v>12</v>
      </c>
      <c r="P68" s="16" t="s">
        <v>12</v>
      </c>
      <c r="Q68" s="20"/>
      <c r="R68" s="21" t="s">
        <v>219</v>
      </c>
      <c r="S68" s="22">
        <v>20</v>
      </c>
      <c r="T68" s="22">
        <v>99</v>
      </c>
      <c r="U68" s="39" t="s">
        <v>12</v>
      </c>
      <c r="V68" s="16" t="s">
        <v>1280</v>
      </c>
      <c r="W68" s="22">
        <v>30</v>
      </c>
      <c r="X68" s="22">
        <v>704366</v>
      </c>
      <c r="Y68" s="22">
        <v>4744988</v>
      </c>
      <c r="Z68" s="22">
        <v>30</v>
      </c>
      <c r="AA68" s="22">
        <v>704259</v>
      </c>
      <c r="AB68" s="22">
        <v>4744778</v>
      </c>
      <c r="AC68" s="35">
        <v>-0.501024</v>
      </c>
      <c r="AD68" s="35">
        <v>42.828306</v>
      </c>
      <c r="AE68" s="16" t="s">
        <v>1281</v>
      </c>
      <c r="AF68" s="16" t="s">
        <v>1282</v>
      </c>
      <c r="AG68" s="24" t="s">
        <v>957</v>
      </c>
      <c r="AH68" s="39" t="s">
        <v>1272</v>
      </c>
      <c r="AI68" s="25" t="s">
        <v>1172</v>
      </c>
    </row>
    <row r="69" spans="1:35" ht="11.25">
      <c r="A69" s="5" t="s">
        <v>526</v>
      </c>
      <c r="B69" s="6" t="s">
        <v>52</v>
      </c>
      <c r="C69" s="6" t="s">
        <v>527</v>
      </c>
      <c r="D69" s="6" t="s">
        <v>528</v>
      </c>
      <c r="E69" s="7" t="s">
        <v>502</v>
      </c>
      <c r="G69" s="8">
        <v>2719</v>
      </c>
      <c r="H69" s="9" t="str">
        <f>HYPERLINK("http://www.centcols.org/util/geo/visuGen.php?code=ES-HU-2719","ES-HU-2719")</f>
        <v>ES-HU-2719</v>
      </c>
      <c r="I69" s="7" t="s">
        <v>529</v>
      </c>
      <c r="J69" s="7" t="s">
        <v>530</v>
      </c>
      <c r="K69" s="7"/>
      <c r="L69" s="4" t="s">
        <v>531</v>
      </c>
      <c r="N69" s="7"/>
      <c r="O69" s="7"/>
      <c r="P69" s="7"/>
      <c r="Q69" s="10"/>
      <c r="R69" s="11" t="s">
        <v>219</v>
      </c>
      <c r="S69" s="12">
        <v>20</v>
      </c>
      <c r="T69" s="12">
        <v>99</v>
      </c>
      <c r="U69" s="12"/>
      <c r="V69" s="7"/>
      <c r="W69" s="12">
        <v>31</v>
      </c>
      <c r="X69" s="12">
        <v>308057</v>
      </c>
      <c r="Y69" s="12">
        <v>4720335</v>
      </c>
      <c r="Z69" s="12">
        <v>31</v>
      </c>
      <c r="AA69" s="12">
        <v>307964</v>
      </c>
      <c r="AB69" s="12">
        <v>4720130</v>
      </c>
      <c r="AC69" s="13">
        <v>0.658788</v>
      </c>
      <c r="AD69" s="13">
        <v>42.609691</v>
      </c>
      <c r="AE69" s="7" t="s">
        <v>532</v>
      </c>
      <c r="AF69" s="7" t="s">
        <v>533</v>
      </c>
      <c r="AH69" s="32" t="s">
        <v>12</v>
      </c>
      <c r="AI69" s="14" t="s">
        <v>13</v>
      </c>
    </row>
    <row r="70" spans="1:35" ht="22.5">
      <c r="A70" s="33" t="s">
        <v>1283</v>
      </c>
      <c r="B70" s="33" t="s">
        <v>1284</v>
      </c>
      <c r="C70" s="33" t="s">
        <v>1285</v>
      </c>
      <c r="D70" s="33" t="s">
        <v>1286</v>
      </c>
      <c r="E70" s="16" t="s">
        <v>502</v>
      </c>
      <c r="F70" s="33"/>
      <c r="G70" s="41">
        <v>2753</v>
      </c>
      <c r="H70" s="18" t="str">
        <f>HYPERLINK("http://www.centcols.org/util/geo/visuGen.php?code=ES-HU-2752","ES-HU-2752")</f>
        <v>ES-HU-2752</v>
      </c>
      <c r="I70" s="16" t="s">
        <v>1287</v>
      </c>
      <c r="J70" s="16" t="s">
        <v>1288</v>
      </c>
      <c r="K70" s="16"/>
      <c r="L70" s="19" t="s">
        <v>1289</v>
      </c>
      <c r="M70" s="19"/>
      <c r="N70" s="16" t="s">
        <v>12</v>
      </c>
      <c r="O70" s="16" t="s">
        <v>12</v>
      </c>
      <c r="P70" s="16" t="s">
        <v>12</v>
      </c>
      <c r="Q70" s="20"/>
      <c r="R70" s="21" t="s">
        <v>12</v>
      </c>
      <c r="S70" s="22">
        <v>20</v>
      </c>
      <c r="T70" s="22">
        <v>99</v>
      </c>
      <c r="U70" s="39" t="s">
        <v>12</v>
      </c>
      <c r="V70" s="16" t="s">
        <v>1290</v>
      </c>
      <c r="W70" s="22">
        <v>31</v>
      </c>
      <c r="X70" s="22">
        <v>275759</v>
      </c>
      <c r="Y70" s="22">
        <v>4733082</v>
      </c>
      <c r="Z70" s="22">
        <v>31</v>
      </c>
      <c r="AA70" s="22">
        <v>275659</v>
      </c>
      <c r="AB70" s="22">
        <v>4732879</v>
      </c>
      <c r="AC70" s="35">
        <v>0.260319</v>
      </c>
      <c r="AD70" s="35">
        <v>42.71565</v>
      </c>
      <c r="AE70" s="16" t="s">
        <v>1291</v>
      </c>
      <c r="AF70" s="16" t="s">
        <v>1292</v>
      </c>
      <c r="AG70" s="24" t="s">
        <v>1293</v>
      </c>
      <c r="AH70" s="39"/>
      <c r="AI70" s="25" t="s">
        <v>1172</v>
      </c>
    </row>
    <row r="71" spans="1:35" ht="11.25">
      <c r="A71" s="5" t="s">
        <v>534</v>
      </c>
      <c r="B71" s="6" t="s">
        <v>535</v>
      </c>
      <c r="C71" s="6" t="s">
        <v>536</v>
      </c>
      <c r="D71" s="6" t="s">
        <v>537</v>
      </c>
      <c r="E71" s="7" t="s">
        <v>502</v>
      </c>
      <c r="G71" s="8">
        <v>2915</v>
      </c>
      <c r="H71" s="9" t="str">
        <f>HYPERLINK("http://www.centcols.org/util/geo/visuGen.php?code=ES-HU-2915","ES-HU-2915")</f>
        <v>ES-HU-2915</v>
      </c>
      <c r="I71" s="7" t="s">
        <v>538</v>
      </c>
      <c r="J71" s="7" t="s">
        <v>539</v>
      </c>
      <c r="K71" s="7"/>
      <c r="L71" s="4" t="s">
        <v>540</v>
      </c>
      <c r="N71" s="7"/>
      <c r="O71" s="7"/>
      <c r="P71" s="7"/>
      <c r="Q71" s="10"/>
      <c r="R71" s="11" t="s">
        <v>219</v>
      </c>
      <c r="S71" s="12">
        <v>20</v>
      </c>
      <c r="T71" s="12">
        <v>99</v>
      </c>
      <c r="U71" s="12"/>
      <c r="V71" s="7"/>
      <c r="W71" s="12">
        <v>30</v>
      </c>
      <c r="X71" s="12">
        <v>734780</v>
      </c>
      <c r="Y71" s="12">
        <v>4738230</v>
      </c>
      <c r="Z71" s="12">
        <v>30</v>
      </c>
      <c r="AA71" s="12">
        <v>734673</v>
      </c>
      <c r="AB71" s="12">
        <v>4738020</v>
      </c>
      <c r="AC71" s="13">
        <v>-0.13216</v>
      </c>
      <c r="AD71" s="13">
        <v>42.758805</v>
      </c>
      <c r="AE71" s="7" t="s">
        <v>541</v>
      </c>
      <c r="AF71" s="7" t="s">
        <v>542</v>
      </c>
      <c r="AH71" s="32" t="s">
        <v>12</v>
      </c>
      <c r="AI71" s="14" t="s">
        <v>13</v>
      </c>
    </row>
    <row r="72" spans="1:35" ht="11.25">
      <c r="A72" s="33" t="s">
        <v>1294</v>
      </c>
      <c r="B72" s="33" t="s">
        <v>1117</v>
      </c>
      <c r="C72" s="33" t="s">
        <v>1295</v>
      </c>
      <c r="D72" s="37" t="s">
        <v>1296</v>
      </c>
      <c r="E72" s="16" t="s">
        <v>502</v>
      </c>
      <c r="F72" s="33"/>
      <c r="G72" s="34">
        <v>3134</v>
      </c>
      <c r="H72" s="18" t="str">
        <f>HYPERLINK("http://www.centcols.org/util/geo/visuGen.php?code=ES-HU-3134","ES-HU-3134")</f>
        <v>ES-HU-3134</v>
      </c>
      <c r="I72" s="16" t="s">
        <v>1297</v>
      </c>
      <c r="J72" s="16" t="s">
        <v>1298</v>
      </c>
      <c r="K72" s="16"/>
      <c r="L72" s="19" t="s">
        <v>1299</v>
      </c>
      <c r="M72" s="19"/>
      <c r="N72" s="16" t="s">
        <v>12</v>
      </c>
      <c r="O72" s="16" t="s">
        <v>12</v>
      </c>
      <c r="P72" s="16" t="s">
        <v>12</v>
      </c>
      <c r="Q72" s="20"/>
      <c r="R72" s="21" t="s">
        <v>219</v>
      </c>
      <c r="S72" s="22">
        <v>20</v>
      </c>
      <c r="T72" s="22">
        <v>99</v>
      </c>
      <c r="U72" s="22"/>
      <c r="V72" s="16" t="s">
        <v>1300</v>
      </c>
      <c r="W72" s="22">
        <v>31</v>
      </c>
      <c r="X72" s="22">
        <v>265259</v>
      </c>
      <c r="Y72" s="22">
        <v>4733372</v>
      </c>
      <c r="Z72" s="22">
        <v>31</v>
      </c>
      <c r="AA72" s="22">
        <v>265166</v>
      </c>
      <c r="AB72" s="22">
        <v>4733169</v>
      </c>
      <c r="AC72" s="35">
        <v>0.132213</v>
      </c>
      <c r="AD72" s="35">
        <v>42.715122</v>
      </c>
      <c r="AE72" s="16" t="s">
        <v>1301</v>
      </c>
      <c r="AF72" s="16" t="s">
        <v>1302</v>
      </c>
      <c r="AG72" s="24" t="s">
        <v>957</v>
      </c>
      <c r="AH72" s="39" t="s">
        <v>1303</v>
      </c>
      <c r="AI72" s="25" t="s">
        <v>1172</v>
      </c>
    </row>
    <row r="73" spans="1:35" ht="11.25">
      <c r="A73" s="5" t="s">
        <v>543</v>
      </c>
      <c r="B73" s="6" t="s">
        <v>2</v>
      </c>
      <c r="C73" s="6" t="s">
        <v>544</v>
      </c>
      <c r="D73" s="6" t="s">
        <v>544</v>
      </c>
      <c r="E73" s="16" t="s">
        <v>545</v>
      </c>
      <c r="G73" s="17">
        <v>257</v>
      </c>
      <c r="H73" s="18" t="str">
        <f>HYPERLINK("http://www.centcols.org/util/geo/visuGen.php?code=ES-L-0290","ES-L-0290")</f>
        <v>ES-L-0290</v>
      </c>
      <c r="I73" s="16" t="s">
        <v>546</v>
      </c>
      <c r="J73" s="16" t="s">
        <v>547</v>
      </c>
      <c r="K73" s="16" t="s">
        <v>548</v>
      </c>
      <c r="L73" s="19" t="s">
        <v>549</v>
      </c>
      <c r="M73" s="19"/>
      <c r="N73" s="16" t="s">
        <v>12</v>
      </c>
      <c r="O73" s="16" t="s">
        <v>12</v>
      </c>
      <c r="P73" s="16" t="s">
        <v>12</v>
      </c>
      <c r="Q73" s="20"/>
      <c r="R73" s="21" t="s">
        <v>38</v>
      </c>
      <c r="S73" s="22">
        <v>10</v>
      </c>
      <c r="T73" s="22">
        <v>35</v>
      </c>
      <c r="U73" s="22" t="s">
        <v>12</v>
      </c>
      <c r="V73" s="16" t="s">
        <v>12</v>
      </c>
      <c r="W73" s="22">
        <v>31</v>
      </c>
      <c r="X73" s="22">
        <v>322333</v>
      </c>
      <c r="Y73" s="22">
        <v>4605425</v>
      </c>
      <c r="Z73" s="22">
        <v>31</v>
      </c>
      <c r="AA73" s="22">
        <v>322239</v>
      </c>
      <c r="AB73" s="22">
        <v>4605221</v>
      </c>
      <c r="AC73" s="23">
        <v>0.867642</v>
      </c>
      <c r="AD73" s="23">
        <v>41.578918</v>
      </c>
      <c r="AE73" s="16" t="s">
        <v>550</v>
      </c>
      <c r="AF73" s="16" t="s">
        <v>551</v>
      </c>
      <c r="AG73" s="19" t="s">
        <v>552</v>
      </c>
      <c r="AH73" s="36"/>
      <c r="AI73" s="25" t="s">
        <v>553</v>
      </c>
    </row>
    <row r="74" spans="1:35" ht="11.25">
      <c r="A74" s="33" t="s">
        <v>1304</v>
      </c>
      <c r="B74" s="33" t="s">
        <v>1305</v>
      </c>
      <c r="C74" s="33" t="s">
        <v>1306</v>
      </c>
      <c r="D74" s="33" t="s">
        <v>1307</v>
      </c>
      <c r="E74" s="16" t="s">
        <v>545</v>
      </c>
      <c r="F74" s="33"/>
      <c r="G74" s="34">
        <v>476</v>
      </c>
      <c r="H74" s="18" t="str">
        <f>HYPERLINK("http://www.centcols.org/util/geo/visuGen.php?code=ES-L-0476","ES-L-0476")</f>
        <v>ES-L-0476</v>
      </c>
      <c r="I74" s="16" t="s">
        <v>1308</v>
      </c>
      <c r="J74" s="16" t="s">
        <v>1309</v>
      </c>
      <c r="K74" s="20" t="s">
        <v>1310</v>
      </c>
      <c r="L74" s="19" t="s">
        <v>1311</v>
      </c>
      <c r="M74" s="19"/>
      <c r="N74" s="16" t="s">
        <v>12</v>
      </c>
      <c r="O74" s="16" t="s">
        <v>12</v>
      </c>
      <c r="P74" s="16" t="s">
        <v>12</v>
      </c>
      <c r="Q74" s="20"/>
      <c r="R74" s="21" t="s">
        <v>38</v>
      </c>
      <c r="S74" s="22">
        <v>10</v>
      </c>
      <c r="T74" s="22">
        <v>35</v>
      </c>
      <c r="U74" s="39" t="s">
        <v>12</v>
      </c>
      <c r="V74" s="16" t="s">
        <v>12</v>
      </c>
      <c r="W74" s="22">
        <v>31</v>
      </c>
      <c r="X74" s="22">
        <v>320865</v>
      </c>
      <c r="Y74" s="22">
        <v>4587642</v>
      </c>
      <c r="Z74" s="22">
        <v>31</v>
      </c>
      <c r="AA74" s="22">
        <v>320771</v>
      </c>
      <c r="AB74" s="22">
        <v>4587439</v>
      </c>
      <c r="AC74" s="35">
        <v>0.855333</v>
      </c>
      <c r="AD74" s="35">
        <v>41.418524</v>
      </c>
      <c r="AE74" s="16" t="s">
        <v>1312</v>
      </c>
      <c r="AF74" s="16" t="s">
        <v>1313</v>
      </c>
      <c r="AG74" s="24" t="s">
        <v>552</v>
      </c>
      <c r="AH74" s="39"/>
      <c r="AI74" s="25" t="s">
        <v>1172</v>
      </c>
    </row>
    <row r="75" spans="1:35" ht="11.25">
      <c r="A75" s="5" t="s">
        <v>554</v>
      </c>
      <c r="B75" s="6" t="s">
        <v>555</v>
      </c>
      <c r="C75" s="6" t="s">
        <v>556</v>
      </c>
      <c r="D75" s="6" t="s">
        <v>557</v>
      </c>
      <c r="E75" s="7" t="s">
        <v>545</v>
      </c>
      <c r="G75" s="8">
        <v>690</v>
      </c>
      <c r="H75" s="9" t="str">
        <f>HYPERLINK("http://www.centcols.org/util/geo/visuGen.php?code=ES-L-0690g","ES-L-0690g")</f>
        <v>ES-L-0690g</v>
      </c>
      <c r="I75" s="7"/>
      <c r="J75" s="7"/>
      <c r="K75" s="7"/>
      <c r="L75" s="4"/>
      <c r="N75" s="7"/>
      <c r="O75" s="7"/>
      <c r="P75" s="7"/>
      <c r="Q75" s="10"/>
      <c r="R75" s="11" t="s">
        <v>38</v>
      </c>
      <c r="S75" s="12">
        <v>0</v>
      </c>
      <c r="T75" s="12">
        <v>0</v>
      </c>
      <c r="U75" s="12"/>
      <c r="V75" s="7"/>
      <c r="W75" s="12"/>
      <c r="X75" s="12"/>
      <c r="Y75" s="12"/>
      <c r="Z75" s="12"/>
      <c r="AA75" s="12"/>
      <c r="AB75" s="12"/>
      <c r="AC75" s="13">
        <v>1.2933</v>
      </c>
      <c r="AD75" s="13">
        <v>42.08956</v>
      </c>
      <c r="AE75" s="7"/>
      <c r="AF75" s="7"/>
      <c r="AH75" s="32"/>
      <c r="AI75" s="15" t="s">
        <v>39</v>
      </c>
    </row>
    <row r="76" spans="1:35" ht="11.25">
      <c r="A76" s="5" t="s">
        <v>558</v>
      </c>
      <c r="B76" s="6" t="s">
        <v>2</v>
      </c>
      <c r="C76" s="6" t="s">
        <v>559</v>
      </c>
      <c r="D76" s="6" t="s">
        <v>559</v>
      </c>
      <c r="E76" s="7" t="s">
        <v>545</v>
      </c>
      <c r="G76" s="8">
        <v>1430</v>
      </c>
      <c r="H76" s="9" t="str">
        <f>HYPERLINK("http://www.centcols.org/util/geo/visuGen.php?code=ES-L-1430c","ES-L-1430c")</f>
        <v>ES-L-1430c</v>
      </c>
      <c r="I76" s="7"/>
      <c r="J76" s="7"/>
      <c r="K76" s="7"/>
      <c r="L76" s="4"/>
      <c r="N76" s="7"/>
      <c r="O76" s="7"/>
      <c r="P76" s="7"/>
      <c r="Q76" s="10"/>
      <c r="R76" s="11" t="s">
        <v>38</v>
      </c>
      <c r="S76" s="12">
        <v>0</v>
      </c>
      <c r="T76" s="12">
        <v>0</v>
      </c>
      <c r="U76" s="12"/>
      <c r="V76" s="7"/>
      <c r="W76" s="12"/>
      <c r="X76" s="12"/>
      <c r="Y76" s="12"/>
      <c r="Z76" s="12"/>
      <c r="AA76" s="12"/>
      <c r="AB76" s="12"/>
      <c r="AC76" s="13">
        <v>1.68572</v>
      </c>
      <c r="AD76" s="13">
        <v>42.38667</v>
      </c>
      <c r="AE76" s="7"/>
      <c r="AF76" s="7"/>
      <c r="AH76" s="32"/>
      <c r="AI76" s="15" t="s">
        <v>39</v>
      </c>
    </row>
    <row r="77" spans="1:35" ht="11.25">
      <c r="A77" s="5" t="s">
        <v>560</v>
      </c>
      <c r="B77" s="6" t="s">
        <v>561</v>
      </c>
      <c r="C77" s="6" t="s">
        <v>562</v>
      </c>
      <c r="D77" s="6" t="s">
        <v>563</v>
      </c>
      <c r="E77" s="7" t="s">
        <v>545</v>
      </c>
      <c r="G77" s="8">
        <v>2359</v>
      </c>
      <c r="H77" s="9" t="str">
        <f>HYPERLINK("http://www.centcols.org/util/geo/visuGen.php?code=ES-L-2363","ES-L-2363")</f>
        <v>ES-L-2363</v>
      </c>
      <c r="I77" s="7" t="s">
        <v>564</v>
      </c>
      <c r="J77" s="7" t="s">
        <v>565</v>
      </c>
      <c r="K77" s="7" t="s">
        <v>566</v>
      </c>
      <c r="L77" s="4" t="s">
        <v>567</v>
      </c>
      <c r="N77" s="7"/>
      <c r="O77" s="7"/>
      <c r="P77" s="7"/>
      <c r="Q77" s="10"/>
      <c r="R77" s="11" t="s">
        <v>219</v>
      </c>
      <c r="S77" s="12">
        <v>20</v>
      </c>
      <c r="T77" s="12">
        <v>99</v>
      </c>
      <c r="U77" s="12"/>
      <c r="V77" s="7"/>
      <c r="W77" s="12">
        <v>31</v>
      </c>
      <c r="X77" s="12">
        <v>318205</v>
      </c>
      <c r="Y77" s="12">
        <v>4740103</v>
      </c>
      <c r="Z77" s="12">
        <v>31</v>
      </c>
      <c r="AA77" s="12">
        <v>318111</v>
      </c>
      <c r="AB77" s="12">
        <v>4739898</v>
      </c>
      <c r="AC77" s="13">
        <v>0.776061</v>
      </c>
      <c r="AD77" s="13">
        <v>42.790035</v>
      </c>
      <c r="AE77" s="7" t="s">
        <v>568</v>
      </c>
      <c r="AF77" s="7" t="s">
        <v>569</v>
      </c>
      <c r="AH77" s="32" t="s">
        <v>12</v>
      </c>
      <c r="AI77" s="14" t="s">
        <v>13</v>
      </c>
    </row>
    <row r="78" spans="1:35" ht="11.25">
      <c r="A78" s="5" t="s">
        <v>570</v>
      </c>
      <c r="B78" s="6" t="s">
        <v>571</v>
      </c>
      <c r="C78" s="6" t="s">
        <v>572</v>
      </c>
      <c r="D78" s="6" t="s">
        <v>573</v>
      </c>
      <c r="E78" s="7" t="s">
        <v>545</v>
      </c>
      <c r="G78" s="8">
        <v>2438</v>
      </c>
      <c r="H78" s="9" t="str">
        <f>HYPERLINK("http://www.centcols.org/util/geo/visuGen.php?code=ES-L-2438","ES-L-2438")</f>
        <v>ES-L-2438</v>
      </c>
      <c r="I78" s="7" t="s">
        <v>574</v>
      </c>
      <c r="J78" s="7" t="s">
        <v>575</v>
      </c>
      <c r="K78" s="7" t="s">
        <v>576</v>
      </c>
      <c r="L78" s="4" t="s">
        <v>577</v>
      </c>
      <c r="N78" s="7"/>
      <c r="O78" s="7"/>
      <c r="P78" s="7"/>
      <c r="Q78" s="10"/>
      <c r="R78" s="11" t="s">
        <v>578</v>
      </c>
      <c r="S78" s="12">
        <v>15</v>
      </c>
      <c r="T78" s="12">
        <v>40</v>
      </c>
      <c r="U78" s="12"/>
      <c r="V78" s="7" t="s">
        <v>579</v>
      </c>
      <c r="W78" s="12">
        <v>31</v>
      </c>
      <c r="X78" s="12">
        <v>309323</v>
      </c>
      <c r="Y78" s="12">
        <v>4729219</v>
      </c>
      <c r="Z78" s="12">
        <v>31</v>
      </c>
      <c r="AA78" s="12">
        <v>309229</v>
      </c>
      <c r="AB78" s="12">
        <v>4729014</v>
      </c>
      <c r="AC78" s="13">
        <v>0.671225</v>
      </c>
      <c r="AD78" s="13">
        <v>42.689943</v>
      </c>
      <c r="AE78" s="7" t="s">
        <v>580</v>
      </c>
      <c r="AF78" s="7" t="s">
        <v>581</v>
      </c>
      <c r="AH78" s="32" t="s">
        <v>12</v>
      </c>
      <c r="AI78" s="14" t="s">
        <v>13</v>
      </c>
    </row>
    <row r="79" spans="1:35" ht="11.25">
      <c r="A79" s="5" t="s">
        <v>582</v>
      </c>
      <c r="B79" s="6" t="s">
        <v>583</v>
      </c>
      <c r="C79" s="6" t="s">
        <v>584</v>
      </c>
      <c r="D79" s="6" t="s">
        <v>585</v>
      </c>
      <c r="E79" s="7" t="s">
        <v>586</v>
      </c>
      <c r="G79" s="8">
        <v>1283</v>
      </c>
      <c r="H79" s="9" t="str">
        <f>HYPERLINK("http://www.centcols.org/util/geo/visuGen.php?code=ES-LE-1283","ES-LE-1283")</f>
        <v>ES-LE-1283</v>
      </c>
      <c r="I79" s="7" t="s">
        <v>587</v>
      </c>
      <c r="J79" s="7" t="s">
        <v>588</v>
      </c>
      <c r="K79" s="7"/>
      <c r="L79" s="4" t="s">
        <v>589</v>
      </c>
      <c r="N79" s="7"/>
      <c r="O79" s="7"/>
      <c r="P79" s="7"/>
      <c r="Q79" s="10"/>
      <c r="R79" s="11"/>
      <c r="S79" s="12">
        <v>20</v>
      </c>
      <c r="T79" s="12">
        <v>99</v>
      </c>
      <c r="U79" s="12"/>
      <c r="V79" s="7"/>
      <c r="W79" s="12">
        <v>30</v>
      </c>
      <c r="X79" s="12">
        <v>292333</v>
      </c>
      <c r="Y79" s="12">
        <v>4750234</v>
      </c>
      <c r="Z79" s="12">
        <v>30</v>
      </c>
      <c r="AA79" s="12">
        <v>292224</v>
      </c>
      <c r="AB79" s="12">
        <v>4750029</v>
      </c>
      <c r="AC79" s="13">
        <v>-5.543905</v>
      </c>
      <c r="AD79" s="13">
        <v>42.874597</v>
      </c>
      <c r="AE79" s="7" t="s">
        <v>590</v>
      </c>
      <c r="AF79" s="7" t="s">
        <v>591</v>
      </c>
      <c r="AH79" s="32" t="s">
        <v>12</v>
      </c>
      <c r="AI79" s="14" t="s">
        <v>13</v>
      </c>
    </row>
    <row r="80" spans="1:35" ht="11.25">
      <c r="A80" s="5" t="s">
        <v>592</v>
      </c>
      <c r="B80" s="6" t="s">
        <v>593</v>
      </c>
      <c r="C80" s="6" t="s">
        <v>594</v>
      </c>
      <c r="D80" s="6" t="s">
        <v>595</v>
      </c>
      <c r="E80" s="7" t="s">
        <v>586</v>
      </c>
      <c r="G80" s="8">
        <v>1362</v>
      </c>
      <c r="H80" s="9" t="str">
        <f>HYPERLINK("http://www.centcols.org/util/geo/visuGen.php?code=ES-LE-1362","ES-LE-1362")</f>
        <v>ES-LE-1362</v>
      </c>
      <c r="I80" s="7" t="s">
        <v>596</v>
      </c>
      <c r="J80" s="7" t="s">
        <v>597</v>
      </c>
      <c r="K80" s="7"/>
      <c r="L80" s="4" t="s">
        <v>598</v>
      </c>
      <c r="N80" s="7"/>
      <c r="O80" s="7"/>
      <c r="P80" s="7"/>
      <c r="Q80" s="10"/>
      <c r="R80" s="11"/>
      <c r="S80" s="12">
        <v>20</v>
      </c>
      <c r="T80" s="12">
        <v>99</v>
      </c>
      <c r="U80" s="12"/>
      <c r="V80" s="7"/>
      <c r="W80" s="12">
        <v>30</v>
      </c>
      <c r="X80" s="12">
        <v>291510</v>
      </c>
      <c r="Y80" s="12">
        <v>4750142</v>
      </c>
      <c r="Z80" s="12">
        <v>30</v>
      </c>
      <c r="AA80" s="12">
        <v>291401</v>
      </c>
      <c r="AB80" s="12">
        <v>4749937</v>
      </c>
      <c r="AC80" s="13">
        <v>-5.553938</v>
      </c>
      <c r="AD80" s="13">
        <v>42.873545</v>
      </c>
      <c r="AE80" s="7" t="s">
        <v>599</v>
      </c>
      <c r="AF80" s="7" t="s">
        <v>600</v>
      </c>
      <c r="AH80" s="32" t="s">
        <v>12</v>
      </c>
      <c r="AI80" s="14" t="s">
        <v>13</v>
      </c>
    </row>
    <row r="81" spans="1:35" ht="11.25">
      <c r="A81" s="5" t="s">
        <v>601</v>
      </c>
      <c r="B81" s="6" t="s">
        <v>267</v>
      </c>
      <c r="C81" s="6" t="s">
        <v>602</v>
      </c>
      <c r="D81" s="6" t="s">
        <v>603</v>
      </c>
      <c r="E81" s="7" t="s">
        <v>586</v>
      </c>
      <c r="G81" s="8">
        <v>1364</v>
      </c>
      <c r="H81" s="9" t="str">
        <f>HYPERLINK("http://www.centcols.org/util/geo/visuGen.php?code=ES-LE-1364","ES-LE-1364")</f>
        <v>ES-LE-1364</v>
      </c>
      <c r="I81" s="7" t="s">
        <v>604</v>
      </c>
      <c r="J81" s="7" t="s">
        <v>605</v>
      </c>
      <c r="K81" s="7"/>
      <c r="L81" s="4" t="s">
        <v>606</v>
      </c>
      <c r="M81" s="4" t="s">
        <v>607</v>
      </c>
      <c r="N81" s="7"/>
      <c r="O81" s="7"/>
      <c r="P81" s="7"/>
      <c r="Q81" s="10"/>
      <c r="R81" s="11" t="s">
        <v>114</v>
      </c>
      <c r="S81" s="12">
        <v>0</v>
      </c>
      <c r="T81" s="12">
        <v>0</v>
      </c>
      <c r="U81" s="12"/>
      <c r="V81" s="7" t="s">
        <v>608</v>
      </c>
      <c r="W81" s="12">
        <v>29</v>
      </c>
      <c r="X81" s="12">
        <v>709162</v>
      </c>
      <c r="Y81" s="12">
        <v>4759448</v>
      </c>
      <c r="Z81" s="12">
        <v>29</v>
      </c>
      <c r="AA81" s="12">
        <v>709038</v>
      </c>
      <c r="AB81" s="12">
        <v>4759234</v>
      </c>
      <c r="AC81" s="13">
        <v>-6.43722</v>
      </c>
      <c r="AD81" s="13">
        <v>42.957067</v>
      </c>
      <c r="AE81" s="7" t="s">
        <v>609</v>
      </c>
      <c r="AF81" s="7" t="s">
        <v>610</v>
      </c>
      <c r="AH81" s="32" t="s">
        <v>60</v>
      </c>
      <c r="AI81" s="14" t="s">
        <v>13</v>
      </c>
    </row>
    <row r="82" spans="1:35" ht="11.25">
      <c r="A82" s="5" t="s">
        <v>611</v>
      </c>
      <c r="B82" s="6" t="s">
        <v>267</v>
      </c>
      <c r="C82" s="6" t="s">
        <v>612</v>
      </c>
      <c r="D82" s="6" t="s">
        <v>613</v>
      </c>
      <c r="E82" s="7" t="s">
        <v>586</v>
      </c>
      <c r="G82" s="8">
        <v>1389</v>
      </c>
      <c r="H82" s="9" t="str">
        <f>HYPERLINK("http://www.centcols.org/util/geo/visuGen.php?code=ES-LE-1389b","ES-LE-1389b")</f>
        <v>ES-LE-1389b</v>
      </c>
      <c r="I82" s="7" t="s">
        <v>614</v>
      </c>
      <c r="J82" s="7" t="s">
        <v>615</v>
      </c>
      <c r="K82" s="7"/>
      <c r="L82" s="4" t="s">
        <v>616</v>
      </c>
      <c r="N82" s="7"/>
      <c r="O82" s="7"/>
      <c r="P82" s="7"/>
      <c r="Q82" s="10"/>
      <c r="R82" s="11" t="s">
        <v>617</v>
      </c>
      <c r="S82" s="12">
        <v>20</v>
      </c>
      <c r="T82" s="12">
        <v>99</v>
      </c>
      <c r="U82" s="12"/>
      <c r="V82" s="7"/>
      <c r="W82" s="12">
        <v>30</v>
      </c>
      <c r="X82" s="12">
        <v>287722</v>
      </c>
      <c r="Y82" s="12">
        <v>4751249</v>
      </c>
      <c r="Z82" s="12">
        <v>30</v>
      </c>
      <c r="AA82" s="12">
        <v>287613</v>
      </c>
      <c r="AB82" s="12">
        <v>4751044</v>
      </c>
      <c r="AC82" s="13">
        <v>-5.600688</v>
      </c>
      <c r="AD82" s="13">
        <v>42.88246</v>
      </c>
      <c r="AE82" s="7" t="s">
        <v>618</v>
      </c>
      <c r="AF82" s="7" t="s">
        <v>619</v>
      </c>
      <c r="AH82" s="32" t="s">
        <v>12</v>
      </c>
      <c r="AI82" s="14" t="s">
        <v>13</v>
      </c>
    </row>
    <row r="83" spans="1:35" ht="11.25">
      <c r="A83" s="5" t="s">
        <v>620</v>
      </c>
      <c r="B83" s="6" t="s">
        <v>621</v>
      </c>
      <c r="C83" s="6" t="s">
        <v>622</v>
      </c>
      <c r="D83" s="6" t="s">
        <v>623</v>
      </c>
      <c r="E83" s="7" t="s">
        <v>586</v>
      </c>
      <c r="G83" s="8">
        <v>1408</v>
      </c>
      <c r="H83" s="9" t="str">
        <f>HYPERLINK("http://www.centcols.org/util/geo/visuGen.php?code=ES-LE-1408","ES-LE-1408")</f>
        <v>ES-LE-1408</v>
      </c>
      <c r="I83" s="7" t="s">
        <v>624</v>
      </c>
      <c r="J83" s="7" t="s">
        <v>625</v>
      </c>
      <c r="K83" s="7"/>
      <c r="L83" s="4" t="s">
        <v>626</v>
      </c>
      <c r="N83" s="7"/>
      <c r="O83" s="7"/>
      <c r="P83" s="7"/>
      <c r="Q83" s="10"/>
      <c r="R83" s="11" t="s">
        <v>79</v>
      </c>
      <c r="S83" s="12">
        <v>15</v>
      </c>
      <c r="T83" s="12">
        <v>99</v>
      </c>
      <c r="U83" s="12"/>
      <c r="V83" s="7"/>
      <c r="W83" s="12">
        <v>30</v>
      </c>
      <c r="X83" s="12">
        <v>330679</v>
      </c>
      <c r="Y83" s="12">
        <v>4776474</v>
      </c>
      <c r="Z83" s="12">
        <v>30</v>
      </c>
      <c r="AA83" s="12">
        <v>330571</v>
      </c>
      <c r="AB83" s="12">
        <v>4776269</v>
      </c>
      <c r="AC83" s="13">
        <v>-5.082708</v>
      </c>
      <c r="AD83" s="13">
        <v>43.120204</v>
      </c>
      <c r="AE83" s="7" t="s">
        <v>627</v>
      </c>
      <c r="AF83" s="7" t="s">
        <v>628</v>
      </c>
      <c r="AH83" s="32" t="s">
        <v>12</v>
      </c>
      <c r="AI83" s="14" t="s">
        <v>13</v>
      </c>
    </row>
    <row r="84" spans="1:35" ht="11.25">
      <c r="A84" s="33" t="s">
        <v>1314</v>
      </c>
      <c r="B84" s="33" t="s">
        <v>15</v>
      </c>
      <c r="C84" s="33" t="s">
        <v>1315</v>
      </c>
      <c r="D84" s="33" t="s">
        <v>1316</v>
      </c>
      <c r="E84" s="16" t="s">
        <v>79</v>
      </c>
      <c r="F84" s="33"/>
      <c r="G84" s="34">
        <v>1421</v>
      </c>
      <c r="H84" s="18" t="str">
        <f>HYPERLINK("http://www.centcols.org/util/geo/visuGen.php?code=ES-LE-1421a","ES-LE-1421a")</f>
        <v>ES-LE-1421a</v>
      </c>
      <c r="I84" s="16" t="s">
        <v>1317</v>
      </c>
      <c r="J84" s="16" t="s">
        <v>1318</v>
      </c>
      <c r="K84" s="16"/>
      <c r="L84" s="19" t="s">
        <v>1319</v>
      </c>
      <c r="M84" s="19"/>
      <c r="N84" s="16" t="s">
        <v>12</v>
      </c>
      <c r="O84" s="16" t="s">
        <v>12</v>
      </c>
      <c r="P84" s="16" t="s">
        <v>12</v>
      </c>
      <c r="Q84" s="20"/>
      <c r="R84" s="21" t="s">
        <v>38</v>
      </c>
      <c r="S84" s="22">
        <v>10</v>
      </c>
      <c r="T84" s="22">
        <v>35</v>
      </c>
      <c r="U84" s="39" t="s">
        <v>12</v>
      </c>
      <c r="V84" s="16" t="s">
        <v>12</v>
      </c>
      <c r="W84" s="22">
        <v>30</v>
      </c>
      <c r="X84" s="22">
        <v>372220</v>
      </c>
      <c r="Y84" s="22">
        <v>4768551</v>
      </c>
      <c r="Z84" s="22">
        <v>30</v>
      </c>
      <c r="AA84" s="22">
        <v>372113</v>
      </c>
      <c r="AB84" s="22">
        <v>4768345</v>
      </c>
      <c r="AC84" s="35">
        <v>-4.57045</v>
      </c>
      <c r="AD84" s="35">
        <v>43.057036</v>
      </c>
      <c r="AE84" s="16" t="s">
        <v>1320</v>
      </c>
      <c r="AF84" s="16" t="s">
        <v>1321</v>
      </c>
      <c r="AG84" s="24" t="s">
        <v>957</v>
      </c>
      <c r="AH84" s="36" t="s">
        <v>1322</v>
      </c>
      <c r="AI84" s="25" t="s">
        <v>1172</v>
      </c>
    </row>
    <row r="85" spans="1:35" ht="11.25">
      <c r="A85" s="5" t="s">
        <v>629</v>
      </c>
      <c r="B85" s="6" t="s">
        <v>630</v>
      </c>
      <c r="C85" s="6" t="s">
        <v>631</v>
      </c>
      <c r="D85" s="6" t="s">
        <v>632</v>
      </c>
      <c r="E85" s="7" t="s">
        <v>586</v>
      </c>
      <c r="G85" s="8">
        <v>1637</v>
      </c>
      <c r="H85" s="9" t="str">
        <f>HYPERLINK("http://www.centcols.org/util/geo/visuGen.php?code=ES-LE-1637b","ES-LE-1637b")</f>
        <v>ES-LE-1637b</v>
      </c>
      <c r="I85" s="7" t="s">
        <v>633</v>
      </c>
      <c r="J85" s="7" t="s">
        <v>634</v>
      </c>
      <c r="K85" s="7"/>
      <c r="L85" s="4" t="s">
        <v>635</v>
      </c>
      <c r="N85" s="7"/>
      <c r="O85" s="7"/>
      <c r="P85" s="7"/>
      <c r="Q85" s="10"/>
      <c r="R85" s="11" t="s">
        <v>38</v>
      </c>
      <c r="S85" s="12">
        <v>10</v>
      </c>
      <c r="T85" s="12">
        <v>35</v>
      </c>
      <c r="U85" s="12"/>
      <c r="V85" s="7" t="s">
        <v>636</v>
      </c>
      <c r="W85" s="12">
        <v>30</v>
      </c>
      <c r="X85" s="12">
        <v>352430</v>
      </c>
      <c r="Y85" s="12">
        <v>4755020</v>
      </c>
      <c r="Z85" s="12">
        <v>30</v>
      </c>
      <c r="AA85" s="12">
        <v>352322</v>
      </c>
      <c r="AB85" s="12">
        <v>4754814</v>
      </c>
      <c r="AC85" s="13">
        <v>-4.809787</v>
      </c>
      <c r="AD85" s="13">
        <v>42.931656</v>
      </c>
      <c r="AE85" s="7" t="s">
        <v>637</v>
      </c>
      <c r="AF85" s="7" t="s">
        <v>638</v>
      </c>
      <c r="AH85" s="36" t="s">
        <v>1323</v>
      </c>
      <c r="AI85" s="14" t="s">
        <v>13</v>
      </c>
    </row>
    <row r="86" spans="1:35" ht="11.25">
      <c r="A86" s="5" t="s">
        <v>639</v>
      </c>
      <c r="B86" s="6" t="s">
        <v>256</v>
      </c>
      <c r="C86" s="6" t="s">
        <v>640</v>
      </c>
      <c r="D86" s="6" t="s">
        <v>641</v>
      </c>
      <c r="E86" s="7" t="s">
        <v>586</v>
      </c>
      <c r="G86" s="8">
        <v>1747</v>
      </c>
      <c r="H86" s="9" t="str">
        <f>HYPERLINK("http://www.centcols.org/util/geo/visuGen.php?code=ES-LE-1747","ES-LE-1747")</f>
        <v>ES-LE-1747</v>
      </c>
      <c r="I86" s="7" t="s">
        <v>642</v>
      </c>
      <c r="J86" s="7" t="s">
        <v>643</v>
      </c>
      <c r="K86" s="7"/>
      <c r="L86" s="4" t="s">
        <v>644</v>
      </c>
      <c r="N86" s="7"/>
      <c r="O86" s="7"/>
      <c r="P86" s="7"/>
      <c r="Q86" s="10"/>
      <c r="R86" s="11" t="s">
        <v>617</v>
      </c>
      <c r="S86" s="12">
        <v>20</v>
      </c>
      <c r="T86" s="12">
        <v>99</v>
      </c>
      <c r="U86" s="12"/>
      <c r="V86" s="7" t="s">
        <v>608</v>
      </c>
      <c r="W86" s="12">
        <v>29</v>
      </c>
      <c r="X86" s="12">
        <v>705830</v>
      </c>
      <c r="Y86" s="12">
        <v>4763240</v>
      </c>
      <c r="Z86" s="12">
        <v>29</v>
      </c>
      <c r="AA86" s="12">
        <v>705706</v>
      </c>
      <c r="AB86" s="12">
        <v>4763026</v>
      </c>
      <c r="AC86" s="13">
        <v>-6.476635</v>
      </c>
      <c r="AD86" s="13">
        <v>42.992089</v>
      </c>
      <c r="AE86" s="7" t="s">
        <v>645</v>
      </c>
      <c r="AF86" s="7" t="s">
        <v>646</v>
      </c>
      <c r="AH86" s="32" t="s">
        <v>12</v>
      </c>
      <c r="AI86" s="14" t="s">
        <v>13</v>
      </c>
    </row>
    <row r="87" spans="1:35" ht="11.25">
      <c r="A87" s="5" t="s">
        <v>647</v>
      </c>
      <c r="B87" s="6" t="s">
        <v>256</v>
      </c>
      <c r="C87" s="6" t="s">
        <v>648</v>
      </c>
      <c r="D87" s="6" t="s">
        <v>649</v>
      </c>
      <c r="E87" s="7" t="s">
        <v>586</v>
      </c>
      <c r="G87" s="8">
        <v>1805</v>
      </c>
      <c r="H87" s="9" t="str">
        <f>HYPERLINK("http://www.centcols.org/util/geo/visuGen.php?code=ES-LE-1805","ES-LE-1805")</f>
        <v>ES-LE-1805</v>
      </c>
      <c r="I87" s="7" t="s">
        <v>650</v>
      </c>
      <c r="J87" s="7" t="s">
        <v>651</v>
      </c>
      <c r="K87" s="7"/>
      <c r="L87" s="4" t="s">
        <v>652</v>
      </c>
      <c r="N87" s="7"/>
      <c r="O87" s="7"/>
      <c r="P87" s="7"/>
      <c r="Q87" s="10"/>
      <c r="R87" s="11" t="s">
        <v>38</v>
      </c>
      <c r="S87" s="12">
        <v>10</v>
      </c>
      <c r="T87" s="12">
        <v>35</v>
      </c>
      <c r="U87" s="12"/>
      <c r="V87" s="7" t="s">
        <v>608</v>
      </c>
      <c r="W87" s="12">
        <v>30</v>
      </c>
      <c r="X87" s="12">
        <v>272050</v>
      </c>
      <c r="Y87" s="12">
        <v>4760980</v>
      </c>
      <c r="Z87" s="12">
        <v>30</v>
      </c>
      <c r="AA87" s="12">
        <v>271941</v>
      </c>
      <c r="AB87" s="12">
        <v>4760775</v>
      </c>
      <c r="AC87" s="13">
        <v>-5.796337</v>
      </c>
      <c r="AD87" s="13">
        <v>42.965468</v>
      </c>
      <c r="AE87" s="7" t="s">
        <v>653</v>
      </c>
      <c r="AF87" s="7" t="s">
        <v>654</v>
      </c>
      <c r="AH87" s="32" t="s">
        <v>12</v>
      </c>
      <c r="AI87" s="14" t="s">
        <v>13</v>
      </c>
    </row>
    <row r="88" spans="1:35" ht="22.5">
      <c r="A88" s="5" t="s">
        <v>655</v>
      </c>
      <c r="B88" s="6" t="s">
        <v>656</v>
      </c>
      <c r="C88" s="6" t="s">
        <v>657</v>
      </c>
      <c r="D88" s="6" t="s">
        <v>658</v>
      </c>
      <c r="E88" s="7" t="s">
        <v>586</v>
      </c>
      <c r="G88" s="8">
        <v>1818</v>
      </c>
      <c r="H88" s="9" t="str">
        <f>HYPERLINK("http://www.centcols.org/util/geo/visuGen.php?code=ES-LE-1818","ES-LE-1818")</f>
        <v>ES-LE-1818</v>
      </c>
      <c r="I88" s="7" t="s">
        <v>659</v>
      </c>
      <c r="J88" s="7" t="s">
        <v>660</v>
      </c>
      <c r="K88" s="7"/>
      <c r="L88" s="4" t="s">
        <v>661</v>
      </c>
      <c r="N88" s="7"/>
      <c r="O88" s="7"/>
      <c r="P88" s="7"/>
      <c r="Q88" s="10"/>
      <c r="R88" s="11" t="s">
        <v>617</v>
      </c>
      <c r="S88" s="12">
        <v>20</v>
      </c>
      <c r="T88" s="12">
        <v>99</v>
      </c>
      <c r="U88" s="12"/>
      <c r="V88" s="7" t="s">
        <v>608</v>
      </c>
      <c r="W88" s="12">
        <v>29</v>
      </c>
      <c r="X88" s="12">
        <v>738919</v>
      </c>
      <c r="Y88" s="12">
        <v>4772492</v>
      </c>
      <c r="Z88" s="12">
        <v>29</v>
      </c>
      <c r="AA88" s="12">
        <v>738796</v>
      </c>
      <c r="AB88" s="12">
        <v>4772278</v>
      </c>
      <c r="AC88" s="13">
        <v>-6.067253</v>
      </c>
      <c r="AD88" s="13">
        <v>43.065634</v>
      </c>
      <c r="AE88" s="7" t="s">
        <v>662</v>
      </c>
      <c r="AF88" s="7" t="s">
        <v>663</v>
      </c>
      <c r="AH88" s="32" t="s">
        <v>12</v>
      </c>
      <c r="AI88" s="14" t="s">
        <v>13</v>
      </c>
    </row>
    <row r="89" spans="1:35" ht="11.25">
      <c r="A89" s="5" t="s">
        <v>664</v>
      </c>
      <c r="B89" s="6" t="s">
        <v>15</v>
      </c>
      <c r="C89" s="6" t="s">
        <v>665</v>
      </c>
      <c r="D89" s="6" t="s">
        <v>666</v>
      </c>
      <c r="E89" s="7" t="s">
        <v>586</v>
      </c>
      <c r="G89" s="8">
        <v>1845</v>
      </c>
      <c r="H89" s="9" t="str">
        <f>HYPERLINK("http://www.centcols.org/util/geo/visuGen.php?code=ES-LE-1845","ES-LE-1845")</f>
        <v>ES-LE-1845</v>
      </c>
      <c r="I89" s="7" t="s">
        <v>667</v>
      </c>
      <c r="J89" s="7" t="s">
        <v>668</v>
      </c>
      <c r="K89" s="7"/>
      <c r="L89" s="4" t="s">
        <v>669</v>
      </c>
      <c r="N89" s="7"/>
      <c r="O89" s="7"/>
      <c r="P89" s="7"/>
      <c r="Q89" s="10"/>
      <c r="R89" s="11" t="s">
        <v>617</v>
      </c>
      <c r="S89" s="12">
        <v>20</v>
      </c>
      <c r="T89" s="12">
        <v>99</v>
      </c>
      <c r="U89" s="12"/>
      <c r="V89" s="7" t="s">
        <v>608</v>
      </c>
      <c r="W89" s="12">
        <v>29</v>
      </c>
      <c r="X89" s="12">
        <v>721151</v>
      </c>
      <c r="Y89" s="12">
        <v>4768488</v>
      </c>
      <c r="Z89" s="12">
        <v>29</v>
      </c>
      <c r="AA89" s="12">
        <v>721028</v>
      </c>
      <c r="AB89" s="12">
        <v>4768274</v>
      </c>
      <c r="AC89" s="13">
        <v>-6.286813</v>
      </c>
      <c r="AD89" s="13">
        <v>43.035</v>
      </c>
      <c r="AE89" s="7" t="s">
        <v>670</v>
      </c>
      <c r="AF89" s="7" t="s">
        <v>671</v>
      </c>
      <c r="AH89" s="32" t="s">
        <v>12</v>
      </c>
      <c r="AI89" s="14" t="s">
        <v>13</v>
      </c>
    </row>
    <row r="90" spans="1:35" ht="11.25">
      <c r="A90" s="5" t="s">
        <v>672</v>
      </c>
      <c r="B90" s="6" t="s">
        <v>178</v>
      </c>
      <c r="C90" s="6" t="s">
        <v>673</v>
      </c>
      <c r="D90" s="6" t="s">
        <v>674</v>
      </c>
      <c r="E90" s="7" t="s">
        <v>586</v>
      </c>
      <c r="G90" s="8">
        <v>1858</v>
      </c>
      <c r="H90" s="9" t="str">
        <f>HYPERLINK("http://www.centcols.org/util/geo/visuGen.php?code=ES-LE-1858","ES-LE-1858")</f>
        <v>ES-LE-1858</v>
      </c>
      <c r="I90" s="7" t="s">
        <v>675</v>
      </c>
      <c r="J90" s="7" t="s">
        <v>676</v>
      </c>
      <c r="K90" s="7"/>
      <c r="L90" s="4" t="s">
        <v>677</v>
      </c>
      <c r="N90" s="7"/>
      <c r="O90" s="7"/>
      <c r="P90" s="7"/>
      <c r="Q90" s="10"/>
      <c r="R90" s="11" t="s">
        <v>38</v>
      </c>
      <c r="S90" s="12">
        <v>10</v>
      </c>
      <c r="T90" s="12">
        <v>35</v>
      </c>
      <c r="U90" s="12"/>
      <c r="V90" s="7" t="s">
        <v>678</v>
      </c>
      <c r="W90" s="12">
        <v>29</v>
      </c>
      <c r="X90" s="12">
        <v>684370</v>
      </c>
      <c r="Y90" s="12">
        <v>4682340</v>
      </c>
      <c r="Z90" s="12">
        <v>29</v>
      </c>
      <c r="AA90" s="12">
        <v>684246</v>
      </c>
      <c r="AB90" s="12">
        <v>4682125</v>
      </c>
      <c r="AC90" s="13">
        <v>-6.765884</v>
      </c>
      <c r="AD90" s="13">
        <v>42.269584</v>
      </c>
      <c r="AE90" s="7" t="s">
        <v>679</v>
      </c>
      <c r="AF90" s="7" t="s">
        <v>680</v>
      </c>
      <c r="AH90" s="32" t="s">
        <v>12</v>
      </c>
      <c r="AI90" s="14" t="s">
        <v>13</v>
      </c>
    </row>
    <row r="91" spans="1:35" ht="22.5">
      <c r="A91" s="5" t="s">
        <v>681</v>
      </c>
      <c r="B91" s="6" t="s">
        <v>682</v>
      </c>
      <c r="C91" s="6" t="s">
        <v>683</v>
      </c>
      <c r="D91" s="6" t="s">
        <v>684</v>
      </c>
      <c r="E91" s="7" t="s">
        <v>586</v>
      </c>
      <c r="G91" s="8">
        <v>1877</v>
      </c>
      <c r="H91" s="9" t="str">
        <f>HYPERLINK("http://www.centcols.org/util/geo/visuGen.php?code=ES-LE-1877a","ES-LE-1877a")</f>
        <v>ES-LE-1877a</v>
      </c>
      <c r="I91" s="7" t="s">
        <v>685</v>
      </c>
      <c r="J91" s="7" t="s">
        <v>686</v>
      </c>
      <c r="K91" s="7"/>
      <c r="L91" s="4" t="s">
        <v>687</v>
      </c>
      <c r="N91" s="7"/>
      <c r="O91" s="7"/>
      <c r="P91" s="7"/>
      <c r="Q91" s="10"/>
      <c r="R91" s="11" t="s">
        <v>617</v>
      </c>
      <c r="S91" s="12">
        <v>20</v>
      </c>
      <c r="T91" s="12">
        <v>99</v>
      </c>
      <c r="U91" s="12"/>
      <c r="V91" s="7" t="s">
        <v>688</v>
      </c>
      <c r="W91" s="12">
        <v>29</v>
      </c>
      <c r="X91" s="12">
        <v>698210</v>
      </c>
      <c r="Y91" s="12">
        <v>4675425</v>
      </c>
      <c r="Z91" s="12">
        <v>29</v>
      </c>
      <c r="AA91" s="12">
        <v>698086</v>
      </c>
      <c r="AB91" s="12">
        <v>4675210</v>
      </c>
      <c r="AC91" s="13">
        <v>-6.600561</v>
      </c>
      <c r="AD91" s="13">
        <v>42.203969</v>
      </c>
      <c r="AE91" s="7" t="s">
        <v>689</v>
      </c>
      <c r="AF91" s="7" t="s">
        <v>690</v>
      </c>
      <c r="AH91" s="32" t="s">
        <v>12</v>
      </c>
      <c r="AI91" s="14" t="s">
        <v>13</v>
      </c>
    </row>
    <row r="92" spans="1:35" ht="11.25">
      <c r="A92" s="5" t="s">
        <v>691</v>
      </c>
      <c r="B92" s="6" t="s">
        <v>178</v>
      </c>
      <c r="C92" s="6" t="s">
        <v>692</v>
      </c>
      <c r="D92" s="6" t="s">
        <v>693</v>
      </c>
      <c r="E92" s="7" t="s">
        <v>694</v>
      </c>
      <c r="G92" s="8">
        <v>1257</v>
      </c>
      <c r="H92" s="9" t="str">
        <f>HYPERLINK("http://www.centcols.org/util/geo/visuGen.php?code=ES-LO-1257","ES-LO-1257")</f>
        <v>ES-LO-1257</v>
      </c>
      <c r="I92" s="7" t="s">
        <v>695</v>
      </c>
      <c r="J92" s="7" t="s">
        <v>696</v>
      </c>
      <c r="K92" s="7"/>
      <c r="L92" s="4" t="s">
        <v>697</v>
      </c>
      <c r="N92" s="7"/>
      <c r="O92" s="7"/>
      <c r="P92" s="7"/>
      <c r="Q92" s="10"/>
      <c r="R92" s="11" t="s">
        <v>38</v>
      </c>
      <c r="S92" s="12">
        <v>10</v>
      </c>
      <c r="T92" s="12">
        <v>35</v>
      </c>
      <c r="U92" s="12"/>
      <c r="V92" s="7"/>
      <c r="W92" s="12">
        <v>30</v>
      </c>
      <c r="X92" s="12">
        <v>566830</v>
      </c>
      <c r="Y92" s="12">
        <v>4661725</v>
      </c>
      <c r="Z92" s="12">
        <v>30</v>
      </c>
      <c r="AA92" s="12">
        <v>566722</v>
      </c>
      <c r="AB92" s="12">
        <v>4661516</v>
      </c>
      <c r="AC92" s="13">
        <v>-2.193049</v>
      </c>
      <c r="AD92" s="13">
        <v>42.102902</v>
      </c>
      <c r="AE92" s="7" t="s">
        <v>698</v>
      </c>
      <c r="AF92" s="7" t="s">
        <v>699</v>
      </c>
      <c r="AH92" s="32" t="s">
        <v>12</v>
      </c>
      <c r="AI92" s="14" t="s">
        <v>13</v>
      </c>
    </row>
    <row r="93" spans="1:35" ht="11.25">
      <c r="A93" s="5" t="s">
        <v>700</v>
      </c>
      <c r="B93" s="6" t="s">
        <v>701</v>
      </c>
      <c r="C93" s="6" t="s">
        <v>223</v>
      </c>
      <c r="D93" s="6" t="s">
        <v>702</v>
      </c>
      <c r="E93" s="7" t="s">
        <v>703</v>
      </c>
      <c r="G93" s="8">
        <v>809</v>
      </c>
      <c r="H93" s="9" t="str">
        <f>HYPERLINK("http://www.centcols.org/util/geo/visuGen.php?code=ES-LU-0809","ES-LU-0809")</f>
        <v>ES-LU-0809</v>
      </c>
      <c r="I93" s="7" t="s">
        <v>704</v>
      </c>
      <c r="J93" s="7" t="s">
        <v>705</v>
      </c>
      <c r="K93" s="7"/>
      <c r="L93" s="4" t="s">
        <v>706</v>
      </c>
      <c r="N93" s="7"/>
      <c r="O93" s="7"/>
      <c r="P93" s="7"/>
      <c r="Q93" s="10"/>
      <c r="R93" s="11" t="s">
        <v>219</v>
      </c>
      <c r="S93" s="12">
        <v>20</v>
      </c>
      <c r="T93" s="12">
        <v>99</v>
      </c>
      <c r="U93" s="12"/>
      <c r="V93" s="7"/>
      <c r="W93" s="12">
        <v>29</v>
      </c>
      <c r="X93" s="12">
        <v>618755</v>
      </c>
      <c r="Y93" s="12">
        <v>4813719</v>
      </c>
      <c r="Z93" s="12">
        <v>29</v>
      </c>
      <c r="AA93" s="12">
        <v>618630</v>
      </c>
      <c r="AB93" s="12">
        <v>4813505</v>
      </c>
      <c r="AC93" s="13">
        <v>-7.533465</v>
      </c>
      <c r="AD93" s="13">
        <v>43.465059</v>
      </c>
      <c r="AE93" s="7" t="s">
        <v>707</v>
      </c>
      <c r="AF93" s="7" t="s">
        <v>708</v>
      </c>
      <c r="AH93" s="32" t="s">
        <v>12</v>
      </c>
      <c r="AI93" s="14" t="s">
        <v>13</v>
      </c>
    </row>
    <row r="94" spans="1:35" ht="11.25">
      <c r="A94" s="5" t="s">
        <v>709</v>
      </c>
      <c r="B94" s="6" t="s">
        <v>256</v>
      </c>
      <c r="C94" s="6" t="s">
        <v>710</v>
      </c>
      <c r="D94" s="6" t="s">
        <v>711</v>
      </c>
      <c r="E94" s="7" t="s">
        <v>703</v>
      </c>
      <c r="G94" s="8">
        <v>906</v>
      </c>
      <c r="H94" s="9" t="str">
        <f>HYPERLINK("http://www.centcols.org/util/geo/visuGen.php?code=ES-LU-0906","ES-LU-0906")</f>
        <v>ES-LU-0906</v>
      </c>
      <c r="I94" s="7" t="s">
        <v>712</v>
      </c>
      <c r="J94" s="7" t="s">
        <v>713</v>
      </c>
      <c r="K94" s="7"/>
      <c r="L94" s="4" t="s">
        <v>714</v>
      </c>
      <c r="N94" s="7"/>
      <c r="O94" s="7"/>
      <c r="P94" s="7"/>
      <c r="Q94" s="10"/>
      <c r="R94" s="11" t="s">
        <v>79</v>
      </c>
      <c r="S94" s="12">
        <v>15</v>
      </c>
      <c r="T94" s="12">
        <v>99</v>
      </c>
      <c r="U94" s="12"/>
      <c r="V94" s="7"/>
      <c r="W94" s="12">
        <v>29</v>
      </c>
      <c r="X94" s="12">
        <v>614203</v>
      </c>
      <c r="Y94" s="12">
        <v>4811629</v>
      </c>
      <c r="Z94" s="12">
        <v>29</v>
      </c>
      <c r="AA94" s="12">
        <v>614078</v>
      </c>
      <c r="AB94" s="12">
        <v>4811415</v>
      </c>
      <c r="AC94" s="13">
        <v>-7.590158</v>
      </c>
      <c r="AD94" s="13">
        <v>43.446953</v>
      </c>
      <c r="AE94" s="7" t="s">
        <v>715</v>
      </c>
      <c r="AF94" s="7" t="s">
        <v>716</v>
      </c>
      <c r="AH94" s="32" t="s">
        <v>12</v>
      </c>
      <c r="AI94" s="14" t="s">
        <v>13</v>
      </c>
    </row>
    <row r="95" spans="1:35" ht="11.25">
      <c r="A95" s="5" t="s">
        <v>717</v>
      </c>
      <c r="B95" s="6" t="s">
        <v>187</v>
      </c>
      <c r="C95" s="6" t="s">
        <v>718</v>
      </c>
      <c r="D95" s="6" t="s">
        <v>719</v>
      </c>
      <c r="E95" s="7" t="s">
        <v>703</v>
      </c>
      <c r="G95" s="8">
        <v>1231</v>
      </c>
      <c r="H95" s="9" t="str">
        <f>HYPERLINK("http://www.centcols.org/util/geo/visuGen.php?code=ES-LU-1231","ES-LU-1231")</f>
        <v>ES-LU-1231</v>
      </c>
      <c r="I95" s="7" t="s">
        <v>720</v>
      </c>
      <c r="J95" s="7" t="s">
        <v>721</v>
      </c>
      <c r="K95" s="7"/>
      <c r="L95" s="4" t="s">
        <v>722</v>
      </c>
      <c r="N95" s="7"/>
      <c r="O95" s="7"/>
      <c r="P95" s="7"/>
      <c r="Q95" s="10"/>
      <c r="R95" s="11" t="s">
        <v>79</v>
      </c>
      <c r="S95" s="12">
        <v>15</v>
      </c>
      <c r="T95" s="12">
        <v>99</v>
      </c>
      <c r="U95" s="12"/>
      <c r="V95" s="7"/>
      <c r="W95" s="12">
        <v>29</v>
      </c>
      <c r="X95" s="12">
        <v>648147</v>
      </c>
      <c r="Y95" s="12">
        <v>4728126</v>
      </c>
      <c r="Z95" s="12">
        <v>29</v>
      </c>
      <c r="AA95" s="12">
        <v>648023</v>
      </c>
      <c r="AB95" s="12">
        <v>4727912</v>
      </c>
      <c r="AC95" s="13">
        <v>-7.193057</v>
      </c>
      <c r="AD95" s="13">
        <v>42.689442</v>
      </c>
      <c r="AE95" s="7" t="s">
        <v>723</v>
      </c>
      <c r="AF95" s="7" t="s">
        <v>724</v>
      </c>
      <c r="AH95" s="32" t="s">
        <v>12</v>
      </c>
      <c r="AI95" s="14" t="s">
        <v>13</v>
      </c>
    </row>
    <row r="96" spans="1:35" ht="11.25">
      <c r="A96" s="5" t="s">
        <v>725</v>
      </c>
      <c r="B96" s="6" t="s">
        <v>256</v>
      </c>
      <c r="C96" s="6" t="s">
        <v>726</v>
      </c>
      <c r="D96" s="6" t="s">
        <v>727</v>
      </c>
      <c r="E96" s="7" t="s">
        <v>703</v>
      </c>
      <c r="G96" s="8">
        <v>1473</v>
      </c>
      <c r="H96" s="9" t="str">
        <f>HYPERLINK("http://www.centcols.org/util/geo/visuGen.php?code=ES-LU-1473","ES-LU-1473")</f>
        <v>ES-LU-1473</v>
      </c>
      <c r="I96" s="7" t="s">
        <v>728</v>
      </c>
      <c r="J96" s="7" t="s">
        <v>729</v>
      </c>
      <c r="K96" s="7"/>
      <c r="L96" s="4" t="s">
        <v>730</v>
      </c>
      <c r="N96" s="7"/>
      <c r="O96" s="7"/>
      <c r="P96" s="7"/>
      <c r="Q96" s="10"/>
      <c r="R96" s="11" t="s">
        <v>219</v>
      </c>
      <c r="S96" s="12">
        <v>20</v>
      </c>
      <c r="T96" s="12">
        <v>99</v>
      </c>
      <c r="U96" s="12"/>
      <c r="V96" s="7"/>
      <c r="W96" s="12">
        <v>29</v>
      </c>
      <c r="X96" s="12">
        <v>654337</v>
      </c>
      <c r="Y96" s="12">
        <v>4716273</v>
      </c>
      <c r="Z96" s="12">
        <v>29</v>
      </c>
      <c r="AA96" s="12">
        <v>654213</v>
      </c>
      <c r="AB96" s="12">
        <v>4716059</v>
      </c>
      <c r="AC96" s="13">
        <v>-7.120747</v>
      </c>
      <c r="AD96" s="13">
        <v>42.581538</v>
      </c>
      <c r="AE96" s="7" t="s">
        <v>731</v>
      </c>
      <c r="AF96" s="7" t="s">
        <v>732</v>
      </c>
      <c r="AH96" s="32" t="s">
        <v>12</v>
      </c>
      <c r="AI96" s="14" t="s">
        <v>13</v>
      </c>
    </row>
    <row r="97" spans="1:35" ht="11.25">
      <c r="A97" s="5" t="s">
        <v>733</v>
      </c>
      <c r="B97" s="6" t="s">
        <v>734</v>
      </c>
      <c r="C97" s="6" t="s">
        <v>735</v>
      </c>
      <c r="D97" s="6" t="s">
        <v>736</v>
      </c>
      <c r="E97" s="7" t="s">
        <v>703</v>
      </c>
      <c r="G97" s="8">
        <v>1669</v>
      </c>
      <c r="H97" s="9" t="str">
        <f>HYPERLINK("http://www.centcols.org/util/geo/visuGen.php?code=ES-LU-1669","ES-LU-1669")</f>
        <v>ES-LU-1669</v>
      </c>
      <c r="I97" s="7" t="s">
        <v>737</v>
      </c>
      <c r="J97" s="7" t="s">
        <v>738</v>
      </c>
      <c r="K97" s="7"/>
      <c r="L97" s="4" t="s">
        <v>739</v>
      </c>
      <c r="M97" s="4" t="s">
        <v>740</v>
      </c>
      <c r="N97" s="7"/>
      <c r="O97" s="7"/>
      <c r="P97" s="7"/>
      <c r="Q97" s="10"/>
      <c r="R97" s="11" t="s">
        <v>741</v>
      </c>
      <c r="S97" s="12">
        <v>0</v>
      </c>
      <c r="T97" s="12">
        <v>0</v>
      </c>
      <c r="U97" s="12"/>
      <c r="V97" s="7"/>
      <c r="W97" s="12">
        <v>29</v>
      </c>
      <c r="X97" s="12">
        <v>678362</v>
      </c>
      <c r="Y97" s="12">
        <v>4748752</v>
      </c>
      <c r="Z97" s="12">
        <v>29</v>
      </c>
      <c r="AA97" s="12">
        <v>678238</v>
      </c>
      <c r="AB97" s="12">
        <v>4748538</v>
      </c>
      <c r="AC97" s="13">
        <v>-6.817939</v>
      </c>
      <c r="AD97" s="13">
        <v>42.868645</v>
      </c>
      <c r="AE97" s="7" t="s">
        <v>742</v>
      </c>
      <c r="AF97" s="7" t="s">
        <v>743</v>
      </c>
      <c r="AH97" s="32" t="s">
        <v>12</v>
      </c>
      <c r="AI97" s="14" t="s">
        <v>13</v>
      </c>
    </row>
    <row r="98" spans="1:35" ht="11.25">
      <c r="A98" s="5" t="s">
        <v>744</v>
      </c>
      <c r="B98" s="6" t="s">
        <v>745</v>
      </c>
      <c r="C98" s="6" t="s">
        <v>746</v>
      </c>
      <c r="D98" s="6" t="s">
        <v>747</v>
      </c>
      <c r="E98" s="7" t="s">
        <v>748</v>
      </c>
      <c r="G98" s="8">
        <v>681</v>
      </c>
      <c r="H98" s="9" t="str">
        <f>HYPERLINK("http://www.centcols.org/util/geo/visuGen.php?code=ES-MA-0681","ES-MA-0681")</f>
        <v>ES-MA-0681</v>
      </c>
      <c r="I98" s="7" t="s">
        <v>749</v>
      </c>
      <c r="J98" s="7" t="s">
        <v>750</v>
      </c>
      <c r="K98" s="7"/>
      <c r="L98" s="4" t="s">
        <v>751</v>
      </c>
      <c r="N98" s="7"/>
      <c r="O98" s="7"/>
      <c r="P98" s="7"/>
      <c r="Q98" s="10"/>
      <c r="R98" s="11" t="s">
        <v>38</v>
      </c>
      <c r="S98" s="12">
        <v>10</v>
      </c>
      <c r="T98" s="12">
        <v>35</v>
      </c>
      <c r="U98" s="12"/>
      <c r="V98" s="7"/>
      <c r="W98" s="12">
        <v>30</v>
      </c>
      <c r="X98" s="12">
        <v>298650</v>
      </c>
      <c r="Y98" s="12">
        <v>4040000</v>
      </c>
      <c r="Z98" s="12">
        <v>30</v>
      </c>
      <c r="AA98" s="12">
        <v>298537</v>
      </c>
      <c r="AB98" s="12">
        <v>4039795</v>
      </c>
      <c r="AC98" s="13">
        <v>-5.248912</v>
      </c>
      <c r="AD98" s="13">
        <v>36.482293</v>
      </c>
      <c r="AE98" s="7" t="s">
        <v>752</v>
      </c>
      <c r="AF98" s="7" t="s">
        <v>753</v>
      </c>
      <c r="AH98" s="32" t="s">
        <v>12</v>
      </c>
      <c r="AI98" s="14" t="s">
        <v>13</v>
      </c>
    </row>
    <row r="99" spans="1:35" ht="11.25">
      <c r="A99" s="5" t="s">
        <v>754</v>
      </c>
      <c r="B99" s="6" t="s">
        <v>158</v>
      </c>
      <c r="C99" s="6" t="s">
        <v>755</v>
      </c>
      <c r="D99" s="6" t="s">
        <v>756</v>
      </c>
      <c r="E99" s="7" t="s">
        <v>748</v>
      </c>
      <c r="G99" s="8">
        <v>783</v>
      </c>
      <c r="H99" s="9" t="str">
        <f>HYPERLINK("http://www.centcols.org/util/geo/visuGen.php?code=ES-MA-0783","ES-MA-0783")</f>
        <v>ES-MA-0783</v>
      </c>
      <c r="I99" s="7" t="s">
        <v>757</v>
      </c>
      <c r="J99" s="7" t="s">
        <v>758</v>
      </c>
      <c r="K99" s="7"/>
      <c r="L99" s="4" t="s">
        <v>759</v>
      </c>
      <c r="N99" s="7"/>
      <c r="O99" s="7"/>
      <c r="P99" s="7"/>
      <c r="Q99" s="10"/>
      <c r="R99" s="11" t="s">
        <v>38</v>
      </c>
      <c r="S99" s="12">
        <v>10</v>
      </c>
      <c r="T99" s="12">
        <v>35</v>
      </c>
      <c r="U99" s="12"/>
      <c r="V99" s="7"/>
      <c r="W99" s="12">
        <v>30</v>
      </c>
      <c r="X99" s="12">
        <v>280390</v>
      </c>
      <c r="Y99" s="12">
        <v>4049105</v>
      </c>
      <c r="Z99" s="12">
        <v>30</v>
      </c>
      <c r="AA99" s="12">
        <v>280277</v>
      </c>
      <c r="AB99" s="12">
        <v>4048900</v>
      </c>
      <c r="AC99" s="13">
        <v>-5.455176</v>
      </c>
      <c r="AD99" s="13">
        <v>36.560286</v>
      </c>
      <c r="AE99" s="7" t="s">
        <v>760</v>
      </c>
      <c r="AF99" s="7" t="s">
        <v>761</v>
      </c>
      <c r="AH99" s="32" t="s">
        <v>12</v>
      </c>
      <c r="AI99" s="14" t="s">
        <v>13</v>
      </c>
    </row>
    <row r="100" spans="1:35" ht="11.25">
      <c r="A100" s="5" t="s">
        <v>762</v>
      </c>
      <c r="B100" s="6" t="s">
        <v>461</v>
      </c>
      <c r="C100" s="6" t="s">
        <v>763</v>
      </c>
      <c r="D100" s="6" t="s">
        <v>764</v>
      </c>
      <c r="E100" s="7" t="s">
        <v>748</v>
      </c>
      <c r="G100" s="8">
        <v>1252</v>
      </c>
      <c r="H100" s="9" t="str">
        <f>HYPERLINK("http://www.centcols.org/util/geo/visuGen.php?code=ES-MA-1252","ES-MA-1252")</f>
        <v>ES-MA-1252</v>
      </c>
      <c r="I100" s="7" t="s">
        <v>765</v>
      </c>
      <c r="J100" s="7" t="s">
        <v>766</v>
      </c>
      <c r="K100" s="7"/>
      <c r="L100" s="4" t="s">
        <v>767</v>
      </c>
      <c r="N100" s="7"/>
      <c r="O100" s="7"/>
      <c r="P100" s="7"/>
      <c r="Q100" s="10"/>
      <c r="R100" s="11"/>
      <c r="S100" s="12">
        <v>20</v>
      </c>
      <c r="T100" s="12">
        <v>99</v>
      </c>
      <c r="U100" s="12"/>
      <c r="V100" s="7"/>
      <c r="W100" s="12">
        <v>30</v>
      </c>
      <c r="X100" s="12">
        <v>405000</v>
      </c>
      <c r="Y100" s="12">
        <v>4083475</v>
      </c>
      <c r="Z100" s="12">
        <v>30</v>
      </c>
      <c r="AA100" s="12">
        <v>404888</v>
      </c>
      <c r="AB100" s="12">
        <v>4083269</v>
      </c>
      <c r="AC100" s="13">
        <v>-4.067421</v>
      </c>
      <c r="AD100" s="13">
        <v>36.89061</v>
      </c>
      <c r="AE100" s="7" t="s">
        <v>768</v>
      </c>
      <c r="AF100" s="7" t="s">
        <v>769</v>
      </c>
      <c r="AH100" s="32" t="s">
        <v>12</v>
      </c>
      <c r="AI100" s="14" t="s">
        <v>13</v>
      </c>
    </row>
    <row r="101" spans="1:35" ht="11.25">
      <c r="A101" s="5" t="s">
        <v>770</v>
      </c>
      <c r="B101" s="6" t="s">
        <v>771</v>
      </c>
      <c r="C101" s="6" t="s">
        <v>772</v>
      </c>
      <c r="D101" s="6" t="s">
        <v>773</v>
      </c>
      <c r="E101" s="7" t="s">
        <v>774</v>
      </c>
      <c r="G101" s="8">
        <v>106</v>
      </c>
      <c r="H101" s="9" t="str">
        <f>HYPERLINK("http://www.centcols.org/util/geo/visuGen.php?code=ES-MU-0106a","ES-MU-0106a")</f>
        <v>ES-MU-0106a</v>
      </c>
      <c r="I101" s="7" t="s">
        <v>775</v>
      </c>
      <c r="J101" s="7" t="s">
        <v>776</v>
      </c>
      <c r="K101" s="7"/>
      <c r="L101" s="4" t="s">
        <v>777</v>
      </c>
      <c r="N101" s="7"/>
      <c r="O101" s="7"/>
      <c r="P101" s="7"/>
      <c r="Q101" s="10"/>
      <c r="R101" s="11" t="s">
        <v>38</v>
      </c>
      <c r="S101" s="12">
        <v>10</v>
      </c>
      <c r="T101" s="12">
        <v>35</v>
      </c>
      <c r="U101" s="12"/>
      <c r="V101" s="7"/>
      <c r="W101" s="12">
        <v>30</v>
      </c>
      <c r="X101" s="12">
        <v>658172</v>
      </c>
      <c r="Y101" s="12">
        <v>4161432</v>
      </c>
      <c r="Z101" s="12">
        <v>30</v>
      </c>
      <c r="AA101" s="12">
        <v>658061</v>
      </c>
      <c r="AB101" s="12">
        <v>4161224</v>
      </c>
      <c r="AC101" s="13">
        <v>-1.209837</v>
      </c>
      <c r="AD101" s="13">
        <v>37.584518</v>
      </c>
      <c r="AE101" s="7" t="s">
        <v>778</v>
      </c>
      <c r="AF101" s="7" t="s">
        <v>779</v>
      </c>
      <c r="AH101" s="32" t="s">
        <v>12</v>
      </c>
      <c r="AI101" s="14" t="s">
        <v>13</v>
      </c>
    </row>
    <row r="102" spans="1:35" ht="11.25">
      <c r="A102" s="5" t="s">
        <v>780</v>
      </c>
      <c r="B102" s="6" t="s">
        <v>781</v>
      </c>
      <c r="C102" s="6" t="s">
        <v>782</v>
      </c>
      <c r="D102" s="6" t="s">
        <v>783</v>
      </c>
      <c r="E102" s="7" t="s">
        <v>774</v>
      </c>
      <c r="G102" s="8">
        <v>138</v>
      </c>
      <c r="H102" s="9" t="str">
        <f>HYPERLINK("http://www.centcols.org/util/geo/visuGen.php?code=ES-MU-0138","ES-MU-0138")</f>
        <v>ES-MU-0138</v>
      </c>
      <c r="I102" s="7"/>
      <c r="J102" s="7"/>
      <c r="K102" s="7"/>
      <c r="L102" s="4"/>
      <c r="N102" s="7"/>
      <c r="O102" s="7"/>
      <c r="P102" s="7"/>
      <c r="Q102" s="10"/>
      <c r="R102" s="11" t="s">
        <v>38</v>
      </c>
      <c r="S102" s="12">
        <v>0</v>
      </c>
      <c r="T102" s="12">
        <v>0</v>
      </c>
      <c r="U102" s="12"/>
      <c r="V102" s="7"/>
      <c r="W102" s="12"/>
      <c r="X102" s="12"/>
      <c r="Y102" s="12"/>
      <c r="Z102" s="12"/>
      <c r="AA102" s="12"/>
      <c r="AB102" s="12"/>
      <c r="AC102" s="13">
        <v>-1.23711</v>
      </c>
      <c r="AD102" s="13">
        <v>38.10527</v>
      </c>
      <c r="AE102" s="7"/>
      <c r="AF102" s="7"/>
      <c r="AH102" s="32"/>
      <c r="AI102" s="15" t="s">
        <v>39</v>
      </c>
    </row>
    <row r="103" spans="1:35" ht="11.25">
      <c r="A103" s="5" t="s">
        <v>784</v>
      </c>
      <c r="B103" s="6" t="s">
        <v>785</v>
      </c>
      <c r="C103" s="6" t="s">
        <v>786</v>
      </c>
      <c r="D103" s="6" t="s">
        <v>787</v>
      </c>
      <c r="E103" s="7" t="s">
        <v>774</v>
      </c>
      <c r="G103" s="8">
        <v>721</v>
      </c>
      <c r="H103" s="9" t="str">
        <f>HYPERLINK("http://www.centcols.org/util/geo/visuGen.php?code=ES-MU-0721","ES-MU-0721")</f>
        <v>ES-MU-0721</v>
      </c>
      <c r="I103" s="7" t="s">
        <v>788</v>
      </c>
      <c r="J103" s="7" t="s">
        <v>789</v>
      </c>
      <c r="K103" s="7"/>
      <c r="L103" s="4" t="s">
        <v>790</v>
      </c>
      <c r="N103" s="7"/>
      <c r="O103" s="7"/>
      <c r="P103" s="7"/>
      <c r="Q103" s="10"/>
      <c r="R103" s="11"/>
      <c r="S103" s="12">
        <v>20</v>
      </c>
      <c r="T103" s="12">
        <v>99</v>
      </c>
      <c r="U103" s="12"/>
      <c r="V103" s="7"/>
      <c r="W103" s="12">
        <v>30</v>
      </c>
      <c r="X103" s="12">
        <v>645200</v>
      </c>
      <c r="Y103" s="12">
        <v>4249030</v>
      </c>
      <c r="Z103" s="12">
        <v>30</v>
      </c>
      <c r="AA103" s="12">
        <v>645090</v>
      </c>
      <c r="AB103" s="12">
        <v>4248822</v>
      </c>
      <c r="AC103" s="13">
        <v>-1.33899</v>
      </c>
      <c r="AD103" s="13">
        <v>38.37584</v>
      </c>
      <c r="AE103" s="7" t="s">
        <v>791</v>
      </c>
      <c r="AF103" s="7" t="s">
        <v>792</v>
      </c>
      <c r="AH103" s="32" t="s">
        <v>12</v>
      </c>
      <c r="AI103" s="14" t="s">
        <v>13</v>
      </c>
    </row>
    <row r="104" spans="1:35" ht="11.25">
      <c r="A104" s="5" t="s">
        <v>793</v>
      </c>
      <c r="B104" s="6" t="s">
        <v>234</v>
      </c>
      <c r="C104" s="6" t="s">
        <v>794</v>
      </c>
      <c r="D104" s="6" t="s">
        <v>795</v>
      </c>
      <c r="E104" s="7" t="s">
        <v>774</v>
      </c>
      <c r="G104" s="8">
        <v>794</v>
      </c>
      <c r="H104" s="9" t="str">
        <f>HYPERLINK("http://www.centcols.org/util/geo/visuGen.php?code=ES-MU-0810","ES-MU-0810")</f>
        <v>ES-MU-0810</v>
      </c>
      <c r="I104" s="7" t="s">
        <v>796</v>
      </c>
      <c r="J104" s="7" t="s">
        <v>797</v>
      </c>
      <c r="K104" s="7"/>
      <c r="L104" s="4" t="s">
        <v>798</v>
      </c>
      <c r="M104" s="4" t="s">
        <v>799</v>
      </c>
      <c r="N104" s="7"/>
      <c r="O104" s="7"/>
      <c r="P104" s="7"/>
      <c r="Q104" s="10"/>
      <c r="R104" s="11" t="s">
        <v>800</v>
      </c>
      <c r="S104" s="12">
        <v>0</v>
      </c>
      <c r="T104" s="12">
        <v>0</v>
      </c>
      <c r="U104" s="12"/>
      <c r="V104" s="7"/>
      <c r="W104" s="12">
        <v>30</v>
      </c>
      <c r="X104" s="12">
        <v>654550</v>
      </c>
      <c r="Y104" s="12">
        <v>4271680</v>
      </c>
      <c r="Z104" s="12">
        <v>30</v>
      </c>
      <c r="AA104" s="12">
        <v>654440</v>
      </c>
      <c r="AB104" s="12">
        <v>4271472</v>
      </c>
      <c r="AC104" s="13">
        <v>-1.227002</v>
      </c>
      <c r="AD104" s="13">
        <v>38.578301</v>
      </c>
      <c r="AE104" s="7" t="s">
        <v>801</v>
      </c>
      <c r="AF104" s="7" t="s">
        <v>802</v>
      </c>
      <c r="AH104" s="32" t="s">
        <v>12</v>
      </c>
      <c r="AI104" s="14" t="s">
        <v>13</v>
      </c>
    </row>
    <row r="105" spans="1:35" ht="11.25">
      <c r="A105" s="5" t="s">
        <v>803</v>
      </c>
      <c r="B105" s="6" t="s">
        <v>158</v>
      </c>
      <c r="C105" s="6" t="s">
        <v>804</v>
      </c>
      <c r="D105" s="6" t="s">
        <v>805</v>
      </c>
      <c r="E105" s="7" t="s">
        <v>774</v>
      </c>
      <c r="G105" s="8">
        <v>853</v>
      </c>
      <c r="H105" s="9" t="str">
        <f>HYPERLINK("http://www.centcols.org/util/geo/visuGen.php?code=ES-MU-0853","ES-MU-0853")</f>
        <v>ES-MU-0853</v>
      </c>
      <c r="I105" s="7"/>
      <c r="J105" s="7"/>
      <c r="K105" s="7"/>
      <c r="L105" s="4"/>
      <c r="N105" s="7"/>
      <c r="O105" s="7"/>
      <c r="P105" s="7"/>
      <c r="Q105" s="10"/>
      <c r="R105" s="11" t="s">
        <v>38</v>
      </c>
      <c r="S105" s="12">
        <v>10</v>
      </c>
      <c r="T105" s="12">
        <v>35</v>
      </c>
      <c r="U105" s="12"/>
      <c r="V105" s="7"/>
      <c r="W105" s="12"/>
      <c r="X105" s="12"/>
      <c r="Y105" s="12"/>
      <c r="Z105" s="12"/>
      <c r="AA105" s="12"/>
      <c r="AB105" s="12"/>
      <c r="AC105" s="13">
        <v>-1.82619</v>
      </c>
      <c r="AD105" s="13">
        <v>37.9642</v>
      </c>
      <c r="AE105" s="7"/>
      <c r="AF105" s="7"/>
      <c r="AH105" s="32"/>
      <c r="AI105" s="15" t="s">
        <v>39</v>
      </c>
    </row>
    <row r="106" spans="1:35" ht="11.25">
      <c r="A106" s="5" t="s">
        <v>806</v>
      </c>
      <c r="B106" s="6" t="s">
        <v>771</v>
      </c>
      <c r="C106" s="6" t="s">
        <v>772</v>
      </c>
      <c r="D106" s="6" t="s">
        <v>773</v>
      </c>
      <c r="E106" s="7" t="s">
        <v>774</v>
      </c>
      <c r="G106" s="8">
        <v>882</v>
      </c>
      <c r="H106" s="9" t="str">
        <f>HYPERLINK("http://www.centcols.org/util/geo/visuGen.php?code=ES-MU-0882","ES-MU-0882")</f>
        <v>ES-MU-0882</v>
      </c>
      <c r="I106" s="7" t="s">
        <v>807</v>
      </c>
      <c r="J106" s="7" t="s">
        <v>808</v>
      </c>
      <c r="K106" s="7"/>
      <c r="L106" s="4" t="s">
        <v>809</v>
      </c>
      <c r="N106" s="7"/>
      <c r="O106" s="7"/>
      <c r="P106" s="7"/>
      <c r="Q106" s="10"/>
      <c r="R106" s="11"/>
      <c r="S106" s="12">
        <v>20</v>
      </c>
      <c r="T106" s="12">
        <v>99</v>
      </c>
      <c r="U106" s="12"/>
      <c r="V106" s="7"/>
      <c r="W106" s="12">
        <v>30</v>
      </c>
      <c r="X106" s="12">
        <v>588390</v>
      </c>
      <c r="Y106" s="12">
        <v>4185660</v>
      </c>
      <c r="Z106" s="12">
        <v>30</v>
      </c>
      <c r="AA106" s="12">
        <v>588279</v>
      </c>
      <c r="AB106" s="12">
        <v>4185452</v>
      </c>
      <c r="AC106" s="13">
        <v>-1.997081</v>
      </c>
      <c r="AD106" s="13">
        <v>37.8122</v>
      </c>
      <c r="AE106" s="7" t="s">
        <v>810</v>
      </c>
      <c r="AF106" s="7" t="s">
        <v>811</v>
      </c>
      <c r="AH106" s="32" t="s">
        <v>12</v>
      </c>
      <c r="AI106" s="14" t="s">
        <v>13</v>
      </c>
    </row>
    <row r="107" spans="1:35" ht="11.25">
      <c r="A107" s="5" t="s">
        <v>812</v>
      </c>
      <c r="B107" s="6" t="s">
        <v>813</v>
      </c>
      <c r="C107" s="6" t="s">
        <v>814</v>
      </c>
      <c r="D107" s="6" t="s">
        <v>815</v>
      </c>
      <c r="E107" s="16" t="s">
        <v>816</v>
      </c>
      <c r="G107" s="17">
        <v>416</v>
      </c>
      <c r="H107" s="18" t="str">
        <f>HYPERLINK("http://www.centcols.org/util/geo/visuGen.php?code=ES-NA-0416","ES-NA-0416")</f>
        <v>ES-NA-0416</v>
      </c>
      <c r="I107" s="16" t="s">
        <v>817</v>
      </c>
      <c r="J107" s="16" t="s">
        <v>818</v>
      </c>
      <c r="K107" s="16"/>
      <c r="L107" s="19" t="s">
        <v>819</v>
      </c>
      <c r="M107" s="19"/>
      <c r="N107" s="16" t="s">
        <v>12</v>
      </c>
      <c r="O107" s="16" t="s">
        <v>12</v>
      </c>
      <c r="P107" s="16" t="s">
        <v>12</v>
      </c>
      <c r="Q107" s="20" t="s">
        <v>820</v>
      </c>
      <c r="R107" s="21" t="s">
        <v>38</v>
      </c>
      <c r="S107" s="22">
        <v>10</v>
      </c>
      <c r="T107" s="22">
        <v>35</v>
      </c>
      <c r="U107" s="22"/>
      <c r="V107" s="16" t="s">
        <v>12</v>
      </c>
      <c r="W107" s="22">
        <v>30</v>
      </c>
      <c r="X107" s="22">
        <v>586690</v>
      </c>
      <c r="Y107" s="22">
        <v>4702415</v>
      </c>
      <c r="Z107" s="22">
        <v>30</v>
      </c>
      <c r="AA107" s="22">
        <v>586583</v>
      </c>
      <c r="AB107" s="22">
        <v>4702206</v>
      </c>
      <c r="AC107" s="23">
        <v>-1.946799</v>
      </c>
      <c r="AD107" s="23">
        <v>42.467359</v>
      </c>
      <c r="AE107" s="16" t="s">
        <v>821</v>
      </c>
      <c r="AF107" s="16" t="s">
        <v>822</v>
      </c>
      <c r="AG107" s="19" t="s">
        <v>823</v>
      </c>
      <c r="AH107" s="36" t="s">
        <v>12</v>
      </c>
      <c r="AI107" s="25" t="s">
        <v>553</v>
      </c>
    </row>
    <row r="108" spans="1:35" ht="22.5">
      <c r="A108" s="5" t="s">
        <v>824</v>
      </c>
      <c r="B108" s="6" t="s">
        <v>825</v>
      </c>
      <c r="C108" s="6" t="s">
        <v>826</v>
      </c>
      <c r="D108" s="6" t="s">
        <v>827</v>
      </c>
      <c r="E108" s="16" t="s">
        <v>816</v>
      </c>
      <c r="G108" s="17">
        <v>434</v>
      </c>
      <c r="H108" s="18" t="str">
        <f>HYPERLINK("http://www.centcols.org/util/geo/visuGen.php?code=ES-NA-0434","ES-NA-0434")</f>
        <v>ES-NA-0434</v>
      </c>
      <c r="I108" s="16" t="s">
        <v>828</v>
      </c>
      <c r="J108" s="16" t="s">
        <v>829</v>
      </c>
      <c r="K108" s="16"/>
      <c r="L108" s="19" t="s">
        <v>830</v>
      </c>
      <c r="M108" s="19"/>
      <c r="N108" s="16" t="s">
        <v>12</v>
      </c>
      <c r="O108" s="16" t="s">
        <v>12</v>
      </c>
      <c r="P108" s="16" t="s">
        <v>12</v>
      </c>
      <c r="Q108" s="20" t="s">
        <v>831</v>
      </c>
      <c r="R108" s="21" t="s">
        <v>38</v>
      </c>
      <c r="S108" s="22">
        <v>10</v>
      </c>
      <c r="T108" s="22">
        <v>35</v>
      </c>
      <c r="U108" s="22"/>
      <c r="V108" s="16" t="s">
        <v>12</v>
      </c>
      <c r="W108" s="22">
        <v>30</v>
      </c>
      <c r="X108" s="22">
        <v>586119</v>
      </c>
      <c r="Y108" s="22">
        <v>4703841</v>
      </c>
      <c r="Z108" s="22">
        <v>30</v>
      </c>
      <c r="AA108" s="22">
        <v>586012</v>
      </c>
      <c r="AB108" s="22">
        <v>4703632</v>
      </c>
      <c r="AC108" s="23">
        <v>-1.953529</v>
      </c>
      <c r="AD108" s="23">
        <v>42.480263</v>
      </c>
      <c r="AE108" s="16" t="s">
        <v>832</v>
      </c>
      <c r="AF108" s="16" t="s">
        <v>833</v>
      </c>
      <c r="AG108" s="19" t="s">
        <v>823</v>
      </c>
      <c r="AH108" s="36" t="s">
        <v>12</v>
      </c>
      <c r="AI108" s="25" t="s">
        <v>553</v>
      </c>
    </row>
    <row r="109" spans="1:35" ht="22.5">
      <c r="A109" s="5" t="s">
        <v>834</v>
      </c>
      <c r="B109" s="6" t="s">
        <v>835</v>
      </c>
      <c r="C109" s="6" t="s">
        <v>836</v>
      </c>
      <c r="D109" s="6" t="s">
        <v>837</v>
      </c>
      <c r="E109" s="16" t="s">
        <v>816</v>
      </c>
      <c r="G109" s="17">
        <v>440</v>
      </c>
      <c r="H109" s="18" t="str">
        <f>HYPERLINK("http://www.centcols.org/util/geo/visuGen.php?code=ES-NA-0440","ES-NA-0440")</f>
        <v>ES-NA-0440</v>
      </c>
      <c r="I109" s="16" t="s">
        <v>838</v>
      </c>
      <c r="J109" s="16" t="s">
        <v>839</v>
      </c>
      <c r="K109" s="16"/>
      <c r="L109" s="19" t="s">
        <v>840</v>
      </c>
      <c r="M109" s="19"/>
      <c r="N109" s="16" t="s">
        <v>12</v>
      </c>
      <c r="O109" s="16" t="s">
        <v>12</v>
      </c>
      <c r="P109" s="16" t="s">
        <v>12</v>
      </c>
      <c r="Q109" s="20" t="s">
        <v>841</v>
      </c>
      <c r="R109" s="21" t="s">
        <v>12</v>
      </c>
      <c r="S109" s="22">
        <v>20</v>
      </c>
      <c r="T109" s="22">
        <v>99</v>
      </c>
      <c r="U109" s="22"/>
      <c r="V109" s="16" t="s">
        <v>12</v>
      </c>
      <c r="W109" s="22">
        <v>30</v>
      </c>
      <c r="X109" s="22">
        <v>568368</v>
      </c>
      <c r="Y109" s="22">
        <v>4712509</v>
      </c>
      <c r="Z109" s="22">
        <v>30</v>
      </c>
      <c r="AA109" s="22">
        <v>568261</v>
      </c>
      <c r="AB109" s="22">
        <v>4712300</v>
      </c>
      <c r="AC109" s="23">
        <v>-2.168437</v>
      </c>
      <c r="AD109" s="23">
        <v>42.560087</v>
      </c>
      <c r="AE109" s="16" t="s">
        <v>842</v>
      </c>
      <c r="AF109" s="16" t="s">
        <v>843</v>
      </c>
      <c r="AG109" s="19" t="s">
        <v>823</v>
      </c>
      <c r="AH109" s="36" t="s">
        <v>12</v>
      </c>
      <c r="AI109" s="25" t="s">
        <v>553</v>
      </c>
    </row>
    <row r="110" spans="1:35" ht="11.25">
      <c r="A110" s="5" t="s">
        <v>844</v>
      </c>
      <c r="B110" s="6" t="s">
        <v>845</v>
      </c>
      <c r="C110" s="6" t="s">
        <v>846</v>
      </c>
      <c r="D110" s="6" t="s">
        <v>847</v>
      </c>
      <c r="E110" s="16" t="s">
        <v>816</v>
      </c>
      <c r="G110" s="17">
        <v>451</v>
      </c>
      <c r="H110" s="18" t="str">
        <f>HYPERLINK("http://www.centcols.org/util/geo/visuGen.php?code=ES-NA-0451","ES-NA-0451")</f>
        <v>ES-NA-0451</v>
      </c>
      <c r="I110" s="16" t="s">
        <v>848</v>
      </c>
      <c r="J110" s="16" t="s">
        <v>849</v>
      </c>
      <c r="K110" s="16"/>
      <c r="L110" s="19" t="s">
        <v>850</v>
      </c>
      <c r="M110" s="19"/>
      <c r="N110" s="16" t="s">
        <v>12</v>
      </c>
      <c r="O110" s="16" t="s">
        <v>12</v>
      </c>
      <c r="P110" s="16" t="s">
        <v>12</v>
      </c>
      <c r="Q110" s="20" t="s">
        <v>851</v>
      </c>
      <c r="R110" s="21" t="s">
        <v>12</v>
      </c>
      <c r="S110" s="22">
        <v>20</v>
      </c>
      <c r="T110" s="22">
        <v>99</v>
      </c>
      <c r="U110" s="22"/>
      <c r="V110" s="16" t="s">
        <v>12</v>
      </c>
      <c r="W110" s="22">
        <v>30</v>
      </c>
      <c r="X110" s="22">
        <v>568444</v>
      </c>
      <c r="Y110" s="22">
        <v>4712713</v>
      </c>
      <c r="Z110" s="22">
        <v>30</v>
      </c>
      <c r="AA110" s="22">
        <v>568337</v>
      </c>
      <c r="AB110" s="22">
        <v>4712504</v>
      </c>
      <c r="AC110" s="23">
        <v>-2.167487</v>
      </c>
      <c r="AD110" s="23">
        <v>42.561917</v>
      </c>
      <c r="AE110" s="16" t="s">
        <v>852</v>
      </c>
      <c r="AF110" s="16" t="s">
        <v>853</v>
      </c>
      <c r="AG110" s="19" t="s">
        <v>823</v>
      </c>
      <c r="AH110" s="36" t="s">
        <v>12</v>
      </c>
      <c r="AI110" s="25" t="s">
        <v>553</v>
      </c>
    </row>
    <row r="111" spans="1:35" ht="11.25">
      <c r="A111" s="33" t="s">
        <v>1324</v>
      </c>
      <c r="B111" s="33" t="s">
        <v>1325</v>
      </c>
      <c r="C111" s="33" t="s">
        <v>1326</v>
      </c>
      <c r="D111" s="37" t="s">
        <v>1327</v>
      </c>
      <c r="E111" s="16" t="s">
        <v>816</v>
      </c>
      <c r="F111" s="33"/>
      <c r="G111" s="41">
        <v>754</v>
      </c>
      <c r="H111" s="18" t="str">
        <f>HYPERLINK("http://www.centcols.org/util/geo/visuGen.php?code=ES-NA-0745","ES-NA-0745")</f>
        <v>ES-NA-0745</v>
      </c>
      <c r="I111" s="16" t="s">
        <v>1328</v>
      </c>
      <c r="J111" s="16" t="s">
        <v>1329</v>
      </c>
      <c r="K111" s="16"/>
      <c r="L111" s="19" t="s">
        <v>1330</v>
      </c>
      <c r="M111" s="19" t="s">
        <v>1331</v>
      </c>
      <c r="N111" s="16" t="s">
        <v>12</v>
      </c>
      <c r="O111" s="16" t="s">
        <v>12</v>
      </c>
      <c r="P111" s="16" t="s">
        <v>12</v>
      </c>
      <c r="Q111" s="19"/>
      <c r="R111" s="21" t="s">
        <v>1332</v>
      </c>
      <c r="S111" s="22">
        <v>0</v>
      </c>
      <c r="T111" s="22">
        <v>0</v>
      </c>
      <c r="U111" s="22"/>
      <c r="V111" s="16" t="s">
        <v>1333</v>
      </c>
      <c r="W111" s="22"/>
      <c r="X111" s="22"/>
      <c r="Y111" s="22"/>
      <c r="Z111" s="22"/>
      <c r="AA111" s="22"/>
      <c r="AB111" s="22"/>
      <c r="AC111" s="42">
        <v>-1.452267</v>
      </c>
      <c r="AD111" s="42">
        <v>43.060576</v>
      </c>
      <c r="AE111" s="16"/>
      <c r="AF111" s="16"/>
      <c r="AG111" s="24" t="s">
        <v>823</v>
      </c>
      <c r="AH111" s="39" t="s">
        <v>1272</v>
      </c>
      <c r="AI111" s="25" t="s">
        <v>1172</v>
      </c>
    </row>
    <row r="112" spans="1:35" ht="11.25">
      <c r="A112" s="33" t="s">
        <v>1334</v>
      </c>
      <c r="B112" s="33" t="s">
        <v>1335</v>
      </c>
      <c r="C112" s="33" t="s">
        <v>1336</v>
      </c>
      <c r="D112" s="33" t="s">
        <v>1337</v>
      </c>
      <c r="E112" s="16" t="s">
        <v>816</v>
      </c>
      <c r="F112" s="33"/>
      <c r="G112" s="40">
        <v>968</v>
      </c>
      <c r="H112" s="18" t="str">
        <f>HYPERLINK("http://www.centcols.org/util/geo/visuGen.php?code=ES-NA-0965a","ES-NA-0965a")</f>
        <v>ES-NA-0965a</v>
      </c>
      <c r="I112" s="20" t="s">
        <v>1338</v>
      </c>
      <c r="J112" s="20" t="s">
        <v>1339</v>
      </c>
      <c r="K112" s="33"/>
      <c r="L112" s="20" t="s">
        <v>1340</v>
      </c>
      <c r="M112" s="19"/>
      <c r="N112" s="16" t="s">
        <v>1341</v>
      </c>
      <c r="O112" s="16" t="s">
        <v>12</v>
      </c>
      <c r="P112" s="16" t="s">
        <v>12</v>
      </c>
      <c r="Q112" s="19"/>
      <c r="R112" s="33" t="s">
        <v>1342</v>
      </c>
      <c r="S112" s="19">
        <v>10</v>
      </c>
      <c r="T112" s="19">
        <v>1</v>
      </c>
      <c r="U112" s="19"/>
      <c r="V112" s="19" t="s">
        <v>1343</v>
      </c>
      <c r="W112" s="19">
        <v>30</v>
      </c>
      <c r="X112" s="19">
        <v>629097</v>
      </c>
      <c r="Y112" s="19">
        <v>4777464</v>
      </c>
      <c r="Z112" s="19">
        <v>30</v>
      </c>
      <c r="AA112" s="19">
        <v>628984</v>
      </c>
      <c r="AB112" s="19">
        <v>4777252</v>
      </c>
      <c r="AC112" s="19">
        <v>-1.4140195</v>
      </c>
      <c r="AD112" s="19">
        <v>43.1370275</v>
      </c>
      <c r="AE112" s="16" t="s">
        <v>1344</v>
      </c>
      <c r="AF112" s="16" t="s">
        <v>1345</v>
      </c>
      <c r="AG112" s="24" t="s">
        <v>823</v>
      </c>
      <c r="AH112" s="39" t="s">
        <v>1272</v>
      </c>
      <c r="AI112" s="25" t="s">
        <v>1172</v>
      </c>
    </row>
    <row r="113" spans="1:35" ht="33.75">
      <c r="A113" s="5" t="s">
        <v>854</v>
      </c>
      <c r="B113" s="6" t="s">
        <v>855</v>
      </c>
      <c r="C113" s="6" t="s">
        <v>856</v>
      </c>
      <c r="D113" s="6" t="s">
        <v>857</v>
      </c>
      <c r="E113" s="7" t="s">
        <v>816</v>
      </c>
      <c r="G113" s="8">
        <v>417</v>
      </c>
      <c r="H113" s="9" t="str">
        <f>HYPERLINK("http://www.centcols.org/util/geo/visuGen.php?code=ES-NA-1020","ES-NA-1020")</f>
        <v>ES-NA-1020</v>
      </c>
      <c r="I113" s="7" t="s">
        <v>858</v>
      </c>
      <c r="J113" s="7" t="s">
        <v>859</v>
      </c>
      <c r="K113" s="7"/>
      <c r="L113" s="4" t="s">
        <v>860</v>
      </c>
      <c r="N113" s="7"/>
      <c r="O113" s="7"/>
      <c r="P113" s="7"/>
      <c r="Q113" s="26" t="s">
        <v>861</v>
      </c>
      <c r="R113" s="11" t="s">
        <v>38</v>
      </c>
      <c r="S113" s="12">
        <v>10</v>
      </c>
      <c r="T113" s="12">
        <v>35</v>
      </c>
      <c r="U113" s="12"/>
      <c r="V113" s="7"/>
      <c r="W113" s="12">
        <v>30</v>
      </c>
      <c r="X113" s="12">
        <v>589848</v>
      </c>
      <c r="Y113" s="12">
        <v>4693025</v>
      </c>
      <c r="Z113" s="12">
        <v>30</v>
      </c>
      <c r="AA113" s="12">
        <v>589741</v>
      </c>
      <c r="AB113" s="12">
        <v>4692816</v>
      </c>
      <c r="AC113" s="13">
        <v>-1.909859</v>
      </c>
      <c r="AD113" s="13">
        <v>42.382449</v>
      </c>
      <c r="AE113" s="7" t="s">
        <v>862</v>
      </c>
      <c r="AF113" s="7" t="s">
        <v>863</v>
      </c>
      <c r="AH113" s="36" t="s">
        <v>1346</v>
      </c>
      <c r="AI113" s="14" t="s">
        <v>13</v>
      </c>
    </row>
    <row r="114" spans="1:35" ht="56.25">
      <c r="A114" s="5" t="s">
        <v>864</v>
      </c>
      <c r="B114" s="6" t="s">
        <v>865</v>
      </c>
      <c r="C114" s="6" t="s">
        <v>866</v>
      </c>
      <c r="D114" s="6" t="s">
        <v>867</v>
      </c>
      <c r="E114" s="7" t="s">
        <v>816</v>
      </c>
      <c r="G114" s="8">
        <v>1165</v>
      </c>
      <c r="H114" s="9" t="str">
        <f>HYPERLINK("http://www.centcols.org/util/geo/visuGen.php?code=ES-NA-1165b","ES-NA-1165b")</f>
        <v>ES-NA-1165b</v>
      </c>
      <c r="I114" s="7" t="s">
        <v>868</v>
      </c>
      <c r="J114" s="7" t="s">
        <v>869</v>
      </c>
      <c r="K114" s="7"/>
      <c r="L114" s="4" t="s">
        <v>870</v>
      </c>
      <c r="N114" s="7" t="s">
        <v>871</v>
      </c>
      <c r="O114" s="7"/>
      <c r="P114" s="7"/>
      <c r="Q114" s="26" t="s">
        <v>872</v>
      </c>
      <c r="R114" s="11" t="s">
        <v>139</v>
      </c>
      <c r="S114" s="12">
        <v>10</v>
      </c>
      <c r="T114" s="12">
        <v>2</v>
      </c>
      <c r="U114" s="12"/>
      <c r="V114" s="7" t="s">
        <v>873</v>
      </c>
      <c r="W114" s="12">
        <v>30</v>
      </c>
      <c r="X114" s="12">
        <v>634298</v>
      </c>
      <c r="Y114" s="12">
        <v>4765770</v>
      </c>
      <c r="Z114" s="12">
        <v>30</v>
      </c>
      <c r="AA114" s="12">
        <v>634192</v>
      </c>
      <c r="AB114" s="12">
        <v>4765560</v>
      </c>
      <c r="AC114" s="13">
        <v>-1.352831</v>
      </c>
      <c r="AD114" s="13">
        <v>43.030878</v>
      </c>
      <c r="AE114" s="7" t="s">
        <v>874</v>
      </c>
      <c r="AF114" s="7" t="s">
        <v>875</v>
      </c>
      <c r="AH114" s="32" t="s">
        <v>12</v>
      </c>
      <c r="AI114" s="14" t="s">
        <v>13</v>
      </c>
    </row>
    <row r="115" spans="1:35" ht="11.25">
      <c r="A115" s="5" t="s">
        <v>876</v>
      </c>
      <c r="B115" s="6" t="s">
        <v>877</v>
      </c>
      <c r="C115" s="6" t="s">
        <v>878</v>
      </c>
      <c r="D115" s="6" t="s">
        <v>879</v>
      </c>
      <c r="E115" s="7" t="s">
        <v>816</v>
      </c>
      <c r="G115" s="8">
        <v>1326</v>
      </c>
      <c r="H115" s="9" t="str">
        <f>HYPERLINK("http://www.centcols.org/util/geo/visuGen.php?code=ES-NA-1326","ES-NA-1326")</f>
        <v>ES-NA-1326</v>
      </c>
      <c r="I115" s="7" t="s">
        <v>880</v>
      </c>
      <c r="J115" s="7" t="s">
        <v>881</v>
      </c>
      <c r="K115" s="7"/>
      <c r="L115" s="4" t="s">
        <v>882</v>
      </c>
      <c r="N115" s="7"/>
      <c r="O115" s="7"/>
      <c r="P115" s="7"/>
      <c r="Q115" s="10"/>
      <c r="R115" s="11"/>
      <c r="S115" s="12">
        <v>20</v>
      </c>
      <c r="T115" s="12">
        <v>99</v>
      </c>
      <c r="U115" s="12"/>
      <c r="V115" s="7" t="s">
        <v>883</v>
      </c>
      <c r="W115" s="12">
        <v>31</v>
      </c>
      <c r="X115" s="12">
        <v>459921</v>
      </c>
      <c r="Y115" s="12">
        <v>4687535</v>
      </c>
      <c r="Z115" s="12">
        <v>31</v>
      </c>
      <c r="AA115" s="12">
        <v>459828</v>
      </c>
      <c r="AB115" s="12">
        <v>4687331</v>
      </c>
      <c r="AC115" s="13">
        <v>2.512353</v>
      </c>
      <c r="AD115" s="13">
        <v>42.337194</v>
      </c>
      <c r="AE115" s="7" t="s">
        <v>884</v>
      </c>
      <c r="AF115" s="7" t="s">
        <v>885</v>
      </c>
      <c r="AH115" s="36" t="s">
        <v>1347</v>
      </c>
      <c r="AI115" s="14" t="s">
        <v>13</v>
      </c>
    </row>
    <row r="116" spans="1:35" ht="11.25">
      <c r="A116" s="33" t="s">
        <v>1348</v>
      </c>
      <c r="B116" s="33" t="s">
        <v>1349</v>
      </c>
      <c r="C116" s="33" t="s">
        <v>1350</v>
      </c>
      <c r="D116" s="33" t="s">
        <v>1351</v>
      </c>
      <c r="E116" s="16" t="s">
        <v>816</v>
      </c>
      <c r="F116" s="33"/>
      <c r="G116" s="34">
        <v>1498</v>
      </c>
      <c r="H116" s="18" t="str">
        <f>HYPERLINK("http://www.centcols.org/util/geo/visuGen.php?code=ES-NA-1498","ES-NA-1498")</f>
        <v>ES-NA-1498</v>
      </c>
      <c r="I116" s="16" t="s">
        <v>1352</v>
      </c>
      <c r="J116" s="16" t="s">
        <v>1353</v>
      </c>
      <c r="K116" s="16"/>
      <c r="L116" s="19" t="s">
        <v>1354</v>
      </c>
      <c r="M116" s="19"/>
      <c r="N116" s="16" t="s">
        <v>12</v>
      </c>
      <c r="O116" s="16" t="s">
        <v>12</v>
      </c>
      <c r="P116" s="16" t="s">
        <v>12</v>
      </c>
      <c r="Q116" s="43" t="str">
        <f>HYPERLINK("http://toponimianavarra.tracasa.es/ficha.aspx?lang=cas&amp;id=143295","SITNA 143295")</f>
        <v>SITNA 143295</v>
      </c>
      <c r="R116" s="21" t="s">
        <v>12</v>
      </c>
      <c r="S116" s="22">
        <v>20</v>
      </c>
      <c r="T116" s="22">
        <v>99</v>
      </c>
      <c r="U116" s="39" t="s">
        <v>12</v>
      </c>
      <c r="V116" s="16" t="s">
        <v>1355</v>
      </c>
      <c r="W116" s="22">
        <v>30</v>
      </c>
      <c r="X116" s="22">
        <v>674824</v>
      </c>
      <c r="Y116" s="22">
        <v>4757844</v>
      </c>
      <c r="Z116" s="22">
        <v>30</v>
      </c>
      <c r="AA116" s="22">
        <v>674717</v>
      </c>
      <c r="AB116" s="22">
        <v>4757634</v>
      </c>
      <c r="AC116" s="35">
        <v>-0.858175</v>
      </c>
      <c r="AD116" s="35">
        <v>42.951311</v>
      </c>
      <c r="AE116" s="16" t="s">
        <v>1356</v>
      </c>
      <c r="AF116" s="16" t="s">
        <v>1357</v>
      </c>
      <c r="AG116" s="24" t="s">
        <v>823</v>
      </c>
      <c r="AH116" s="39" t="s">
        <v>1303</v>
      </c>
      <c r="AI116" s="25" t="s">
        <v>1172</v>
      </c>
    </row>
    <row r="117" spans="1:35" ht="11.25">
      <c r="A117" s="33" t="s">
        <v>1358</v>
      </c>
      <c r="B117" s="33" t="s">
        <v>187</v>
      </c>
      <c r="C117" s="33" t="s">
        <v>1359</v>
      </c>
      <c r="D117" s="33" t="s">
        <v>1360</v>
      </c>
      <c r="E117" s="16" t="s">
        <v>1361</v>
      </c>
      <c r="F117" s="33"/>
      <c r="G117" s="34">
        <v>479</v>
      </c>
      <c r="H117" s="18" t="str">
        <f>HYPERLINK("http://www.centcols.org/util/geo/visuGen.php?code=ES-OR-0479","ES-OR-0479")</f>
        <v>ES-OR-0479</v>
      </c>
      <c r="I117" s="16" t="s">
        <v>1362</v>
      </c>
      <c r="J117" s="16" t="s">
        <v>1363</v>
      </c>
      <c r="K117" s="16"/>
      <c r="L117" s="19" t="s">
        <v>1364</v>
      </c>
      <c r="M117" s="19"/>
      <c r="N117" s="16" t="s">
        <v>12</v>
      </c>
      <c r="O117" s="16" t="s">
        <v>12</v>
      </c>
      <c r="P117" s="16" t="s">
        <v>12</v>
      </c>
      <c r="Q117" s="20"/>
      <c r="R117" s="21" t="s">
        <v>79</v>
      </c>
      <c r="S117" s="22">
        <v>15</v>
      </c>
      <c r="T117" s="22">
        <v>99</v>
      </c>
      <c r="U117" s="22"/>
      <c r="V117" s="16" t="s">
        <v>12</v>
      </c>
      <c r="W117" s="22">
        <v>29</v>
      </c>
      <c r="X117" s="22">
        <v>588462</v>
      </c>
      <c r="Y117" s="22">
        <v>4684882</v>
      </c>
      <c r="Z117" s="22">
        <v>29</v>
      </c>
      <c r="AA117" s="22">
        <v>588337</v>
      </c>
      <c r="AB117" s="22">
        <v>4684667</v>
      </c>
      <c r="AC117" s="35">
        <v>-7.928154</v>
      </c>
      <c r="AD117" s="35">
        <v>42.309233</v>
      </c>
      <c r="AE117" s="16" t="s">
        <v>1365</v>
      </c>
      <c r="AF117" s="16" t="s">
        <v>1366</v>
      </c>
      <c r="AG117" s="24" t="s">
        <v>957</v>
      </c>
      <c r="AH117" s="24"/>
      <c r="AI117" s="25" t="s">
        <v>1172</v>
      </c>
    </row>
    <row r="118" spans="1:35" ht="11.25">
      <c r="A118" s="33" t="s">
        <v>1367</v>
      </c>
      <c r="B118" s="33" t="s">
        <v>1368</v>
      </c>
      <c r="C118" s="33" t="s">
        <v>1369</v>
      </c>
      <c r="D118" s="33" t="s">
        <v>1370</v>
      </c>
      <c r="E118" s="16" t="s">
        <v>1361</v>
      </c>
      <c r="F118" s="33"/>
      <c r="G118" s="34">
        <v>824</v>
      </c>
      <c r="H118" s="18" t="str">
        <f>HYPERLINK("http://www.centcols.org/util/geo/visuGen.php?code=ES-OR-0824","ES-OR-0824")</f>
        <v>ES-OR-0824</v>
      </c>
      <c r="I118" s="16" t="s">
        <v>1371</v>
      </c>
      <c r="J118" s="16" t="s">
        <v>1372</v>
      </c>
      <c r="K118" s="16"/>
      <c r="L118" s="19" t="s">
        <v>1373</v>
      </c>
      <c r="M118" s="19" t="s">
        <v>1374</v>
      </c>
      <c r="N118" s="16" t="s">
        <v>12</v>
      </c>
      <c r="O118" s="16" t="s">
        <v>12</v>
      </c>
      <c r="P118" s="16" t="s">
        <v>12</v>
      </c>
      <c r="Q118" s="20"/>
      <c r="R118" s="21" t="s">
        <v>195</v>
      </c>
      <c r="S118" s="22">
        <v>0</v>
      </c>
      <c r="T118" s="22">
        <v>0</v>
      </c>
      <c r="U118" s="22"/>
      <c r="V118" s="16" t="s">
        <v>12</v>
      </c>
      <c r="W118" s="22">
        <v>29</v>
      </c>
      <c r="X118" s="22">
        <v>630077</v>
      </c>
      <c r="Y118" s="22">
        <v>4689395</v>
      </c>
      <c r="Z118" s="22">
        <v>29</v>
      </c>
      <c r="AA118" s="22">
        <v>629952</v>
      </c>
      <c r="AB118" s="22">
        <v>4689180</v>
      </c>
      <c r="AC118" s="35">
        <v>-7.422354</v>
      </c>
      <c r="AD118" s="35">
        <v>42.344033</v>
      </c>
      <c r="AE118" s="16" t="s">
        <v>1375</v>
      </c>
      <c r="AF118" s="16" t="s">
        <v>1376</v>
      </c>
      <c r="AG118" s="24" t="s">
        <v>957</v>
      </c>
      <c r="AH118" s="24"/>
      <c r="AI118" s="25" t="s">
        <v>1172</v>
      </c>
    </row>
    <row r="119" spans="1:35" ht="11.25">
      <c r="A119" s="33" t="s">
        <v>1377</v>
      </c>
      <c r="B119" s="33" t="s">
        <v>256</v>
      </c>
      <c r="C119" s="33" t="s">
        <v>1378</v>
      </c>
      <c r="D119" s="33" t="s">
        <v>1379</v>
      </c>
      <c r="E119" s="16" t="s">
        <v>1361</v>
      </c>
      <c r="F119" s="33"/>
      <c r="G119" s="34">
        <v>859</v>
      </c>
      <c r="H119" s="18" t="str">
        <f>HYPERLINK("http://www.centcols.org/util/geo/visuGen.php?code=ES-OR-0859","ES-OR-0859")</f>
        <v>ES-OR-0859</v>
      </c>
      <c r="I119" s="16" t="s">
        <v>1380</v>
      </c>
      <c r="J119" s="16" t="s">
        <v>1381</v>
      </c>
      <c r="K119" s="16"/>
      <c r="L119" s="19" t="s">
        <v>1382</v>
      </c>
      <c r="M119" s="19" t="s">
        <v>1383</v>
      </c>
      <c r="N119" s="16" t="s">
        <v>12</v>
      </c>
      <c r="O119" s="16" t="s">
        <v>12</v>
      </c>
      <c r="P119" s="16" t="s">
        <v>12</v>
      </c>
      <c r="Q119" s="20"/>
      <c r="R119" s="21" t="s">
        <v>1384</v>
      </c>
      <c r="S119" s="22">
        <v>0</v>
      </c>
      <c r="T119" s="22">
        <v>0</v>
      </c>
      <c r="U119" s="22"/>
      <c r="V119" s="16" t="s">
        <v>12</v>
      </c>
      <c r="W119" s="22">
        <v>29</v>
      </c>
      <c r="X119" s="22">
        <v>586759</v>
      </c>
      <c r="Y119" s="22">
        <v>4652300</v>
      </c>
      <c r="Z119" s="22">
        <v>29</v>
      </c>
      <c r="AA119" s="22">
        <v>586634</v>
      </c>
      <c r="AB119" s="22">
        <v>4652085</v>
      </c>
      <c r="AC119" s="35">
        <v>-7.953662</v>
      </c>
      <c r="AD119" s="35">
        <v>42.016025</v>
      </c>
      <c r="AE119" s="16" t="s">
        <v>1385</v>
      </c>
      <c r="AF119" s="16" t="s">
        <v>1386</v>
      </c>
      <c r="AG119" s="24" t="s">
        <v>957</v>
      </c>
      <c r="AH119" s="39"/>
      <c r="AI119" s="25" t="s">
        <v>1172</v>
      </c>
    </row>
    <row r="120" spans="1:35" ht="11.25">
      <c r="A120" s="5" t="s">
        <v>886</v>
      </c>
      <c r="B120" s="6" t="s">
        <v>256</v>
      </c>
      <c r="C120" s="6" t="s">
        <v>887</v>
      </c>
      <c r="D120" s="6" t="s">
        <v>888</v>
      </c>
      <c r="E120" s="7" t="s">
        <v>889</v>
      </c>
      <c r="G120" s="8">
        <v>1061</v>
      </c>
      <c r="H120" s="9" t="str">
        <f>HYPERLINK("http://www.centcols.org/util/geo/visuGen.php?code=ES-P-1061","ES-P-1061")</f>
        <v>ES-P-1061</v>
      </c>
      <c r="I120" s="7" t="s">
        <v>890</v>
      </c>
      <c r="J120" s="7" t="s">
        <v>891</v>
      </c>
      <c r="K120" s="7"/>
      <c r="L120" s="4" t="s">
        <v>892</v>
      </c>
      <c r="N120" s="7"/>
      <c r="O120" s="7"/>
      <c r="P120" s="7"/>
      <c r="Q120" s="10"/>
      <c r="R120" s="11"/>
      <c r="S120" s="12">
        <v>20</v>
      </c>
      <c r="T120" s="12">
        <v>99</v>
      </c>
      <c r="U120" s="12"/>
      <c r="V120" s="7"/>
      <c r="W120" s="12">
        <v>30</v>
      </c>
      <c r="X120" s="12">
        <v>384610</v>
      </c>
      <c r="Y120" s="12">
        <v>4747890</v>
      </c>
      <c r="Z120" s="12">
        <v>30</v>
      </c>
      <c r="AA120" s="12">
        <v>384502</v>
      </c>
      <c r="AB120" s="12">
        <v>4747684</v>
      </c>
      <c r="AC120" s="13">
        <v>-4.414084</v>
      </c>
      <c r="AD120" s="13">
        <v>42.87302</v>
      </c>
      <c r="AE120" s="7" t="s">
        <v>893</v>
      </c>
      <c r="AF120" s="7" t="s">
        <v>894</v>
      </c>
      <c r="AH120" s="32" t="s">
        <v>12</v>
      </c>
      <c r="AI120" s="14" t="s">
        <v>13</v>
      </c>
    </row>
    <row r="121" spans="1:35" ht="11.25">
      <c r="A121" s="5" t="s">
        <v>895</v>
      </c>
      <c r="B121" s="6" t="s">
        <v>256</v>
      </c>
      <c r="C121" s="6" t="s">
        <v>896</v>
      </c>
      <c r="D121" s="6" t="s">
        <v>897</v>
      </c>
      <c r="E121" s="7" t="s">
        <v>889</v>
      </c>
      <c r="G121" s="8">
        <v>1411</v>
      </c>
      <c r="H121" s="9" t="str">
        <f>HYPERLINK("http://www.centcols.org/util/geo/visuGen.php?code=ES-P-1411","ES-P-1411")</f>
        <v>ES-P-1411</v>
      </c>
      <c r="I121" s="7" t="s">
        <v>898</v>
      </c>
      <c r="J121" s="7" t="s">
        <v>899</v>
      </c>
      <c r="K121" s="7"/>
      <c r="L121" s="4" t="s">
        <v>900</v>
      </c>
      <c r="N121" s="7"/>
      <c r="O121" s="7"/>
      <c r="P121" s="7"/>
      <c r="Q121" s="10"/>
      <c r="R121" s="11"/>
      <c r="S121" s="12">
        <v>20</v>
      </c>
      <c r="T121" s="12">
        <v>99</v>
      </c>
      <c r="U121" s="12"/>
      <c r="V121" s="7"/>
      <c r="W121" s="12">
        <v>30</v>
      </c>
      <c r="X121" s="12">
        <v>380495</v>
      </c>
      <c r="Y121" s="12">
        <v>4764035</v>
      </c>
      <c r="Z121" s="12">
        <v>30</v>
      </c>
      <c r="AA121" s="12">
        <v>380388</v>
      </c>
      <c r="AB121" s="12">
        <v>4763829</v>
      </c>
      <c r="AC121" s="13">
        <v>-4.467897</v>
      </c>
      <c r="AD121" s="13">
        <v>43.017731</v>
      </c>
      <c r="AE121" s="7" t="s">
        <v>901</v>
      </c>
      <c r="AF121" s="7" t="s">
        <v>902</v>
      </c>
      <c r="AH121" s="32" t="s">
        <v>12</v>
      </c>
      <c r="AI121" s="14" t="s">
        <v>13</v>
      </c>
    </row>
    <row r="122" spans="1:35" ht="11.25">
      <c r="A122" s="5" t="s">
        <v>903</v>
      </c>
      <c r="B122" s="6" t="s">
        <v>904</v>
      </c>
      <c r="C122" s="6" t="s">
        <v>905</v>
      </c>
      <c r="D122" s="6" t="s">
        <v>906</v>
      </c>
      <c r="E122" s="7" t="s">
        <v>907</v>
      </c>
      <c r="F122" s="5" t="s">
        <v>908</v>
      </c>
      <c r="G122" s="8">
        <v>173</v>
      </c>
      <c r="H122" s="9" t="str">
        <f>HYPERLINK("http://www.centcols.org/util/geo/visuGen.php?code=ES-PM-0173","ES-PM-0173")</f>
        <v>ES-PM-0173</v>
      </c>
      <c r="I122" s="7"/>
      <c r="J122" s="7"/>
      <c r="K122" s="7"/>
      <c r="L122" s="4"/>
      <c r="N122" s="7"/>
      <c r="O122" s="7"/>
      <c r="P122" s="7"/>
      <c r="Q122" s="10"/>
      <c r="R122" s="11" t="s">
        <v>38</v>
      </c>
      <c r="S122" s="12">
        <v>0</v>
      </c>
      <c r="T122" s="12">
        <v>0</v>
      </c>
      <c r="U122" s="12"/>
      <c r="V122" s="7"/>
      <c r="W122" s="12"/>
      <c r="X122" s="12"/>
      <c r="Y122" s="12"/>
      <c r="Z122" s="12"/>
      <c r="AA122" s="12"/>
      <c r="AB122" s="12"/>
      <c r="AC122" s="13">
        <v>3.3052</v>
      </c>
      <c r="AD122" s="13">
        <v>39.69409</v>
      </c>
      <c r="AE122" s="7"/>
      <c r="AF122" s="7"/>
      <c r="AH122" s="32"/>
      <c r="AI122" s="15" t="s">
        <v>39</v>
      </c>
    </row>
    <row r="123" spans="1:35" ht="11.25">
      <c r="A123" s="5" t="s">
        <v>909</v>
      </c>
      <c r="B123" s="6" t="s">
        <v>910</v>
      </c>
      <c r="C123" s="6" t="s">
        <v>911</v>
      </c>
      <c r="D123" s="6" t="s">
        <v>912</v>
      </c>
      <c r="E123" s="7" t="s">
        <v>907</v>
      </c>
      <c r="F123" s="5" t="s">
        <v>908</v>
      </c>
      <c r="G123" s="8">
        <v>201</v>
      </c>
      <c r="H123" s="9" t="str">
        <f>HYPERLINK("http://www.centcols.org/util/geo/visuGen.php?code=ES-PM-0201","ES-PM-0201")</f>
        <v>ES-PM-0201</v>
      </c>
      <c r="I123" s="7" t="s">
        <v>913</v>
      </c>
      <c r="J123" s="7" t="s">
        <v>914</v>
      </c>
      <c r="K123" s="7"/>
      <c r="L123" s="4" t="s">
        <v>915</v>
      </c>
      <c r="N123" s="7"/>
      <c r="O123" s="7"/>
      <c r="P123" s="7"/>
      <c r="Q123" s="10"/>
      <c r="R123" s="11" t="s">
        <v>219</v>
      </c>
      <c r="S123" s="12">
        <v>20</v>
      </c>
      <c r="T123" s="12">
        <v>99</v>
      </c>
      <c r="U123" s="12"/>
      <c r="V123" s="7"/>
      <c r="W123" s="12">
        <v>31</v>
      </c>
      <c r="X123" s="12">
        <v>484081</v>
      </c>
      <c r="Y123" s="12">
        <v>4411892</v>
      </c>
      <c r="Z123" s="12">
        <v>31</v>
      </c>
      <c r="AA123" s="12">
        <v>483987</v>
      </c>
      <c r="AB123" s="12">
        <v>4411687</v>
      </c>
      <c r="AC123" s="13">
        <v>2.812804</v>
      </c>
      <c r="AD123" s="13">
        <v>39.855056</v>
      </c>
      <c r="AE123" s="7" t="s">
        <v>916</v>
      </c>
      <c r="AF123" s="7" t="s">
        <v>917</v>
      </c>
      <c r="AH123" s="32" t="s">
        <v>12</v>
      </c>
      <c r="AI123" s="14" t="s">
        <v>13</v>
      </c>
    </row>
    <row r="124" spans="1:35" ht="11.25">
      <c r="A124" s="33" t="s">
        <v>1387</v>
      </c>
      <c r="B124" s="33" t="s">
        <v>1388</v>
      </c>
      <c r="C124" s="33" t="s">
        <v>1389</v>
      </c>
      <c r="D124" s="33" t="s">
        <v>1390</v>
      </c>
      <c r="E124" s="16" t="s">
        <v>922</v>
      </c>
      <c r="F124" s="33"/>
      <c r="G124" s="34">
        <v>495</v>
      </c>
      <c r="H124" s="18" t="str">
        <f>HYPERLINK("http://www.centcols.org/util/geo/visuGen.php?code=ES-PO-0495","ES-PO-0495")</f>
        <v>ES-PO-0495</v>
      </c>
      <c r="I124" s="16" t="s">
        <v>1391</v>
      </c>
      <c r="J124" s="16" t="s">
        <v>1392</v>
      </c>
      <c r="K124" s="16"/>
      <c r="L124" s="19" t="s">
        <v>1393</v>
      </c>
      <c r="M124" s="19" t="s">
        <v>1394</v>
      </c>
      <c r="N124" s="16" t="s">
        <v>12</v>
      </c>
      <c r="O124" s="16" t="s">
        <v>12</v>
      </c>
      <c r="P124" s="16" t="s">
        <v>12</v>
      </c>
      <c r="Q124" s="20"/>
      <c r="R124" s="21" t="s">
        <v>195</v>
      </c>
      <c r="S124" s="22">
        <v>0</v>
      </c>
      <c r="T124" s="22">
        <v>0</v>
      </c>
      <c r="U124" s="22"/>
      <c r="V124" s="16" t="s">
        <v>12</v>
      </c>
      <c r="W124" s="22">
        <v>29</v>
      </c>
      <c r="X124" s="22">
        <v>564586</v>
      </c>
      <c r="Y124" s="22">
        <v>4717437</v>
      </c>
      <c r="Z124" s="22">
        <v>29</v>
      </c>
      <c r="AA124" s="22">
        <v>564461</v>
      </c>
      <c r="AB124" s="22">
        <v>4717222</v>
      </c>
      <c r="AC124" s="35">
        <v>-8.214167</v>
      </c>
      <c r="AD124" s="35">
        <v>42.604736</v>
      </c>
      <c r="AE124" s="16" t="s">
        <v>1395</v>
      </c>
      <c r="AF124" s="16" t="s">
        <v>1396</v>
      </c>
      <c r="AG124" s="24" t="s">
        <v>957</v>
      </c>
      <c r="AH124" s="24"/>
      <c r="AI124" s="25" t="s">
        <v>1172</v>
      </c>
    </row>
    <row r="125" spans="1:35" ht="11.25">
      <c r="A125" s="5" t="s">
        <v>918</v>
      </c>
      <c r="B125" s="6" t="s">
        <v>919</v>
      </c>
      <c r="C125" s="6" t="s">
        <v>920</v>
      </c>
      <c r="D125" s="6" t="s">
        <v>921</v>
      </c>
      <c r="E125" s="7" t="s">
        <v>922</v>
      </c>
      <c r="G125" s="8">
        <v>615</v>
      </c>
      <c r="H125" s="9" t="str">
        <f>HYPERLINK("http://www.centcols.org/util/geo/visuGen.php?code=ES-PO-0615","ES-PO-0615")</f>
        <v>ES-PO-0615</v>
      </c>
      <c r="I125" s="7" t="s">
        <v>923</v>
      </c>
      <c r="J125" s="7" t="s">
        <v>924</v>
      </c>
      <c r="K125" s="7"/>
      <c r="L125" s="4" t="s">
        <v>925</v>
      </c>
      <c r="N125" s="7"/>
      <c r="O125" s="7"/>
      <c r="P125" s="7"/>
      <c r="Q125" s="10"/>
      <c r="R125" s="11" t="s">
        <v>79</v>
      </c>
      <c r="S125" s="12">
        <v>15</v>
      </c>
      <c r="T125" s="12">
        <v>99</v>
      </c>
      <c r="U125" s="12"/>
      <c r="V125" s="7"/>
      <c r="W125" s="12">
        <v>29</v>
      </c>
      <c r="X125" s="12">
        <v>545899</v>
      </c>
      <c r="Y125" s="12">
        <v>4716134</v>
      </c>
      <c r="Z125" s="12">
        <v>29</v>
      </c>
      <c r="AA125" s="12">
        <v>545774</v>
      </c>
      <c r="AB125" s="12">
        <v>4715919</v>
      </c>
      <c r="AC125" s="13">
        <v>-8.442069</v>
      </c>
      <c r="AD125" s="13">
        <v>42.594338</v>
      </c>
      <c r="AE125" s="7" t="s">
        <v>926</v>
      </c>
      <c r="AF125" s="7" t="s">
        <v>927</v>
      </c>
      <c r="AH125" s="32" t="s">
        <v>12</v>
      </c>
      <c r="AI125" s="14" t="s">
        <v>13</v>
      </c>
    </row>
    <row r="126" spans="1:35" ht="11.25">
      <c r="A126" s="5" t="s">
        <v>928</v>
      </c>
      <c r="B126" s="6" t="s">
        <v>701</v>
      </c>
      <c r="C126" s="6" t="s">
        <v>929</v>
      </c>
      <c r="D126" s="6" t="s">
        <v>930</v>
      </c>
      <c r="E126" s="7" t="s">
        <v>922</v>
      </c>
      <c r="G126" s="8">
        <v>632</v>
      </c>
      <c r="H126" s="9" t="str">
        <f>HYPERLINK("http://www.centcols.org/util/geo/visuGen.php?code=ES-PO-0632","ES-PO-0632")</f>
        <v>ES-PO-0632</v>
      </c>
      <c r="I126" s="7" t="s">
        <v>931</v>
      </c>
      <c r="J126" s="7" t="s">
        <v>932</v>
      </c>
      <c r="K126" s="7"/>
      <c r="L126" s="4" t="s">
        <v>933</v>
      </c>
      <c r="M126" s="4" t="s">
        <v>934</v>
      </c>
      <c r="N126" s="7"/>
      <c r="O126" s="7"/>
      <c r="P126" s="7"/>
      <c r="Q126" s="10"/>
      <c r="R126" s="11" t="s">
        <v>935</v>
      </c>
      <c r="S126" s="12">
        <v>0</v>
      </c>
      <c r="T126" s="12">
        <v>0</v>
      </c>
      <c r="U126" s="12"/>
      <c r="V126" s="7"/>
      <c r="W126" s="12">
        <v>29</v>
      </c>
      <c r="X126" s="12">
        <v>514149</v>
      </c>
      <c r="Y126" s="12">
        <v>4657869</v>
      </c>
      <c r="Z126" s="12">
        <v>29</v>
      </c>
      <c r="AA126" s="12">
        <v>514024</v>
      </c>
      <c r="AB126" s="12">
        <v>4657654</v>
      </c>
      <c r="AC126" s="13">
        <v>-8.830482</v>
      </c>
      <c r="AD126" s="13">
        <v>42.070823</v>
      </c>
      <c r="AE126" s="7" t="s">
        <v>936</v>
      </c>
      <c r="AF126" s="7" t="s">
        <v>937</v>
      </c>
      <c r="AH126" s="32" t="s">
        <v>12</v>
      </c>
      <c r="AI126" s="14" t="s">
        <v>13</v>
      </c>
    </row>
    <row r="127" spans="1:35" ht="11.25">
      <c r="A127" s="33" t="s">
        <v>1397</v>
      </c>
      <c r="B127" s="33" t="s">
        <v>2</v>
      </c>
      <c r="C127" s="33" t="s">
        <v>1398</v>
      </c>
      <c r="D127" s="33" t="s">
        <v>1398</v>
      </c>
      <c r="E127" s="16" t="s">
        <v>922</v>
      </c>
      <c r="F127" s="33"/>
      <c r="G127" s="34">
        <v>679</v>
      </c>
      <c r="H127" s="18" t="str">
        <f>HYPERLINK("http://www.centcols.org/util/geo/visuGen.php?code=ES-PO-0679","ES-PO-0679")</f>
        <v>ES-PO-0679</v>
      </c>
      <c r="I127" s="16" t="s">
        <v>1399</v>
      </c>
      <c r="J127" s="16" t="s">
        <v>1400</v>
      </c>
      <c r="K127" s="16"/>
      <c r="L127" s="19" t="s">
        <v>1401</v>
      </c>
      <c r="M127" s="19"/>
      <c r="N127" s="16" t="s">
        <v>12</v>
      </c>
      <c r="O127" s="16" t="s">
        <v>12</v>
      </c>
      <c r="P127" s="16" t="s">
        <v>12</v>
      </c>
      <c r="Q127" s="20"/>
      <c r="R127" s="21" t="s">
        <v>79</v>
      </c>
      <c r="S127" s="22">
        <v>15</v>
      </c>
      <c r="T127" s="22">
        <v>99</v>
      </c>
      <c r="U127" s="22"/>
      <c r="V127" s="16" t="s">
        <v>12</v>
      </c>
      <c r="W127" s="22">
        <v>29</v>
      </c>
      <c r="X127" s="22">
        <v>579515</v>
      </c>
      <c r="Y127" s="22">
        <v>4716959</v>
      </c>
      <c r="Z127" s="22">
        <v>29</v>
      </c>
      <c r="AA127" s="22">
        <v>579390</v>
      </c>
      <c r="AB127" s="22">
        <v>4716744</v>
      </c>
      <c r="AC127" s="35">
        <v>-8.03226</v>
      </c>
      <c r="AD127" s="35">
        <v>42.59904</v>
      </c>
      <c r="AE127" s="16" t="s">
        <v>1402</v>
      </c>
      <c r="AF127" s="16" t="s">
        <v>1403</v>
      </c>
      <c r="AG127" s="24" t="s">
        <v>957</v>
      </c>
      <c r="AH127" s="24"/>
      <c r="AI127" s="25" t="s">
        <v>1172</v>
      </c>
    </row>
    <row r="128" spans="1:35" ht="11.25">
      <c r="A128" s="33" t="s">
        <v>1404</v>
      </c>
      <c r="B128" s="33" t="s">
        <v>187</v>
      </c>
      <c r="C128" s="33" t="s">
        <v>1405</v>
      </c>
      <c r="D128" s="37" t="s">
        <v>1406</v>
      </c>
      <c r="E128" s="16" t="s">
        <v>922</v>
      </c>
      <c r="F128" s="33"/>
      <c r="G128" s="34">
        <v>755</v>
      </c>
      <c r="H128" s="18" t="str">
        <f>HYPERLINK("http://www.centcols.org/util/geo/visuGen.php?code=ES-PO-0755","ES-PO-0755")</f>
        <v>ES-PO-0755</v>
      </c>
      <c r="I128" s="16" t="s">
        <v>1407</v>
      </c>
      <c r="J128" s="16" t="s">
        <v>1408</v>
      </c>
      <c r="K128" s="16"/>
      <c r="L128" s="19" t="s">
        <v>1409</v>
      </c>
      <c r="M128" s="19"/>
      <c r="N128" s="16" t="s">
        <v>12</v>
      </c>
      <c r="O128" s="16" t="s">
        <v>12</v>
      </c>
      <c r="P128" s="16" t="s">
        <v>12</v>
      </c>
      <c r="Q128" s="20"/>
      <c r="R128" s="21" t="s">
        <v>79</v>
      </c>
      <c r="S128" s="22">
        <v>15</v>
      </c>
      <c r="T128" s="22">
        <v>99</v>
      </c>
      <c r="U128" s="22"/>
      <c r="V128" s="16" t="s">
        <v>12</v>
      </c>
      <c r="W128" s="22">
        <v>29</v>
      </c>
      <c r="X128" s="22">
        <v>580824</v>
      </c>
      <c r="Y128" s="22">
        <v>4718717</v>
      </c>
      <c r="Z128" s="22">
        <v>29</v>
      </c>
      <c r="AA128" s="22">
        <v>580699</v>
      </c>
      <c r="AB128" s="22">
        <v>4718502</v>
      </c>
      <c r="AC128" s="35">
        <v>-8.016057</v>
      </c>
      <c r="AD128" s="35">
        <v>42.614734</v>
      </c>
      <c r="AE128" s="16" t="s">
        <v>1410</v>
      </c>
      <c r="AF128" s="16" t="s">
        <v>1411</v>
      </c>
      <c r="AG128" s="24" t="s">
        <v>957</v>
      </c>
      <c r="AH128" s="24"/>
      <c r="AI128" s="25" t="s">
        <v>1172</v>
      </c>
    </row>
    <row r="129" spans="1:35" ht="11.25">
      <c r="A129" s="5" t="s">
        <v>938</v>
      </c>
      <c r="B129" s="6" t="s">
        <v>256</v>
      </c>
      <c r="C129" s="6" t="s">
        <v>939</v>
      </c>
      <c r="D129" s="6" t="s">
        <v>940</v>
      </c>
      <c r="E129" s="7" t="s">
        <v>79</v>
      </c>
      <c r="G129" s="8">
        <v>1981</v>
      </c>
      <c r="H129" s="9" t="str">
        <f>HYPERLINK("http://www.centcols.org/util/geo/visuGen.php?code=ES-S-1981","ES-S-1981")</f>
        <v>ES-S-1981</v>
      </c>
      <c r="I129" s="7" t="s">
        <v>941</v>
      </c>
      <c r="J129" s="7" t="s">
        <v>942</v>
      </c>
      <c r="K129" s="7"/>
      <c r="L129" s="4" t="s">
        <v>943</v>
      </c>
      <c r="N129" s="7"/>
      <c r="O129" s="7"/>
      <c r="P129" s="7"/>
      <c r="Q129" s="10"/>
      <c r="R129" s="11" t="s">
        <v>322</v>
      </c>
      <c r="S129" s="12">
        <v>15</v>
      </c>
      <c r="T129" s="12">
        <v>2</v>
      </c>
      <c r="U129" s="12"/>
      <c r="V129" s="7"/>
      <c r="W129" s="12">
        <v>30</v>
      </c>
      <c r="X129" s="12">
        <v>354967</v>
      </c>
      <c r="Y129" s="12">
        <v>4771887</v>
      </c>
      <c r="Z129" s="12">
        <v>30</v>
      </c>
      <c r="AA129" s="12">
        <v>354859</v>
      </c>
      <c r="AB129" s="12">
        <v>4771681</v>
      </c>
      <c r="AC129" s="13">
        <v>-4.783095</v>
      </c>
      <c r="AD129" s="13">
        <v>43.08396</v>
      </c>
      <c r="AE129" s="7" t="s">
        <v>944</v>
      </c>
      <c r="AF129" s="7" t="s">
        <v>945</v>
      </c>
      <c r="AH129" s="32"/>
      <c r="AI129" s="14" t="s">
        <v>13</v>
      </c>
    </row>
    <row r="130" spans="1:35" ht="11.25">
      <c r="A130" s="5" t="s">
        <v>946</v>
      </c>
      <c r="B130" s="6" t="s">
        <v>15</v>
      </c>
      <c r="C130" s="6" t="s">
        <v>947</v>
      </c>
      <c r="D130" s="6" t="s">
        <v>948</v>
      </c>
      <c r="E130" s="16" t="s">
        <v>949</v>
      </c>
      <c r="G130" s="17">
        <v>885</v>
      </c>
      <c r="H130" s="18" t="str">
        <f>HYPERLINK("http://www.centcols.org/util/geo/visuGen.php?code=ES-SO-0885","ES-SO-0885")</f>
        <v>ES-SO-0885</v>
      </c>
      <c r="I130" s="16" t="s">
        <v>950</v>
      </c>
      <c r="J130" s="16" t="s">
        <v>951</v>
      </c>
      <c r="K130" s="16"/>
      <c r="L130" s="19" t="s">
        <v>952</v>
      </c>
      <c r="M130" s="19" t="s">
        <v>953</v>
      </c>
      <c r="N130" s="16" t="s">
        <v>12</v>
      </c>
      <c r="O130" s="16" t="s">
        <v>12</v>
      </c>
      <c r="P130" s="16" t="s">
        <v>12</v>
      </c>
      <c r="Q130" s="20"/>
      <c r="R130" s="21" t="s">
        <v>954</v>
      </c>
      <c r="S130" s="22">
        <v>0</v>
      </c>
      <c r="T130" s="22">
        <v>0</v>
      </c>
      <c r="U130" s="22"/>
      <c r="V130" s="16" t="s">
        <v>12</v>
      </c>
      <c r="W130" s="22">
        <v>30</v>
      </c>
      <c r="X130" s="22">
        <v>561188</v>
      </c>
      <c r="Y130" s="22">
        <v>4574290</v>
      </c>
      <c r="Z130" s="22">
        <v>30</v>
      </c>
      <c r="AA130" s="22">
        <v>561079</v>
      </c>
      <c r="AB130" s="22">
        <v>4574081</v>
      </c>
      <c r="AC130" s="23">
        <v>-2.27025</v>
      </c>
      <c r="AD130" s="23">
        <v>41.315888</v>
      </c>
      <c r="AE130" s="16" t="s">
        <v>955</v>
      </c>
      <c r="AF130" s="16" t="s">
        <v>956</v>
      </c>
      <c r="AG130" s="19" t="s">
        <v>957</v>
      </c>
      <c r="AH130" s="36" t="s">
        <v>12</v>
      </c>
      <c r="AI130" s="25" t="s">
        <v>553</v>
      </c>
    </row>
    <row r="131" spans="1:35" ht="11.25">
      <c r="A131" s="5" t="s">
        <v>958</v>
      </c>
      <c r="B131" s="6" t="s">
        <v>267</v>
      </c>
      <c r="C131" s="6" t="s">
        <v>959</v>
      </c>
      <c r="D131" s="6" t="s">
        <v>960</v>
      </c>
      <c r="E131" s="7" t="s">
        <v>949</v>
      </c>
      <c r="G131" s="8">
        <v>902</v>
      </c>
      <c r="H131" s="9" t="str">
        <f>HYPERLINK("http://www.centcols.org/util/geo/visuGen.php?code=ES-SO-0902","ES-SO-0902")</f>
        <v>ES-SO-0902</v>
      </c>
      <c r="I131" s="7" t="s">
        <v>961</v>
      </c>
      <c r="J131" s="7" t="s">
        <v>962</v>
      </c>
      <c r="K131" s="7"/>
      <c r="L131" s="4" t="s">
        <v>963</v>
      </c>
      <c r="N131" s="7"/>
      <c r="O131" s="7"/>
      <c r="P131" s="7"/>
      <c r="Q131" s="10"/>
      <c r="R131" s="11" t="s">
        <v>38</v>
      </c>
      <c r="S131" s="12">
        <v>10</v>
      </c>
      <c r="T131" s="12">
        <v>35</v>
      </c>
      <c r="U131" s="12"/>
      <c r="V131" s="7"/>
      <c r="W131" s="12">
        <v>30</v>
      </c>
      <c r="X131" s="12">
        <v>590470</v>
      </c>
      <c r="Y131" s="12">
        <v>4636870</v>
      </c>
      <c r="Z131" s="12">
        <v>30</v>
      </c>
      <c r="AA131" s="12">
        <v>590362</v>
      </c>
      <c r="AB131" s="12">
        <v>4636661</v>
      </c>
      <c r="AC131" s="13">
        <v>-1.911012</v>
      </c>
      <c r="AD131" s="13">
        <v>41.876713</v>
      </c>
      <c r="AE131" s="7" t="s">
        <v>964</v>
      </c>
      <c r="AF131" s="7" t="s">
        <v>965</v>
      </c>
      <c r="AH131" s="32" t="s">
        <v>12</v>
      </c>
      <c r="AI131" s="14" t="s">
        <v>13</v>
      </c>
    </row>
    <row r="132" spans="1:35" ht="11.25">
      <c r="A132" s="5" t="s">
        <v>966</v>
      </c>
      <c r="B132" s="6" t="s">
        <v>2</v>
      </c>
      <c r="C132" s="6" t="s">
        <v>967</v>
      </c>
      <c r="D132" s="6" t="s">
        <v>967</v>
      </c>
      <c r="E132" s="16" t="s">
        <v>949</v>
      </c>
      <c r="G132" s="17">
        <v>1155</v>
      </c>
      <c r="H132" s="18" t="str">
        <f>HYPERLINK("http://www.centcols.org/util/geo/visuGen.php?code=ES-SO-1155a","ES-SO-1155a")</f>
        <v>ES-SO-1155a</v>
      </c>
      <c r="I132" s="16" t="s">
        <v>968</v>
      </c>
      <c r="J132" s="16" t="s">
        <v>969</v>
      </c>
      <c r="K132" s="16"/>
      <c r="L132" s="19" t="s">
        <v>970</v>
      </c>
      <c r="M132" s="19"/>
      <c r="N132" s="16" t="s">
        <v>12</v>
      </c>
      <c r="O132" s="16" t="s">
        <v>12</v>
      </c>
      <c r="P132" s="16" t="s">
        <v>12</v>
      </c>
      <c r="Q132" s="20"/>
      <c r="R132" s="21" t="s">
        <v>38</v>
      </c>
      <c r="S132" s="22">
        <v>10</v>
      </c>
      <c r="T132" s="22">
        <v>35</v>
      </c>
      <c r="U132" s="22"/>
      <c r="V132" s="16" t="s">
        <v>12</v>
      </c>
      <c r="W132" s="22">
        <v>30</v>
      </c>
      <c r="X132" s="22">
        <v>545480</v>
      </c>
      <c r="Y132" s="22">
        <v>4571465</v>
      </c>
      <c r="Z132" s="22">
        <v>30</v>
      </c>
      <c r="AA132" s="22">
        <v>545371</v>
      </c>
      <c r="AB132" s="22">
        <v>4571257</v>
      </c>
      <c r="AC132" s="23">
        <v>-2.458124</v>
      </c>
      <c r="AD132" s="23">
        <v>41.29148</v>
      </c>
      <c r="AE132" s="16" t="s">
        <v>971</v>
      </c>
      <c r="AF132" s="16" t="s">
        <v>972</v>
      </c>
      <c r="AG132" s="19" t="s">
        <v>957</v>
      </c>
      <c r="AH132" s="36" t="s">
        <v>12</v>
      </c>
      <c r="AI132" s="25" t="s">
        <v>553</v>
      </c>
    </row>
    <row r="133" spans="1:35" ht="11.25">
      <c r="A133" s="5" t="s">
        <v>973</v>
      </c>
      <c r="B133" s="6" t="s">
        <v>52</v>
      </c>
      <c r="C133" s="6" t="s">
        <v>974</v>
      </c>
      <c r="D133" s="6" t="s">
        <v>975</v>
      </c>
      <c r="E133" s="7" t="s">
        <v>976</v>
      </c>
      <c r="G133" s="8">
        <v>62</v>
      </c>
      <c r="H133" s="9" t="str">
        <f>HYPERLINK("http://www.centcols.org/util/geo/visuGen.php?code=ES-T-0050","ES-T-0050")</f>
        <v>ES-T-0050</v>
      </c>
      <c r="I133" s="7" t="s">
        <v>977</v>
      </c>
      <c r="J133" s="7" t="s">
        <v>978</v>
      </c>
      <c r="K133" s="7" t="s">
        <v>979</v>
      </c>
      <c r="L133" s="4" t="s">
        <v>980</v>
      </c>
      <c r="N133" s="7"/>
      <c r="O133" s="7"/>
      <c r="P133" s="7"/>
      <c r="Q133" s="10"/>
      <c r="R133" s="11" t="s">
        <v>981</v>
      </c>
      <c r="S133" s="12">
        <v>15</v>
      </c>
      <c r="T133" s="12">
        <v>99</v>
      </c>
      <c r="U133" s="12"/>
      <c r="V133" s="7"/>
      <c r="W133" s="12">
        <v>31</v>
      </c>
      <c r="X133" s="12">
        <v>365702</v>
      </c>
      <c r="Y133" s="12">
        <v>4559009</v>
      </c>
      <c r="Z133" s="12">
        <v>31</v>
      </c>
      <c r="AA133" s="12">
        <v>365608</v>
      </c>
      <c r="AB133" s="12">
        <v>4558805</v>
      </c>
      <c r="AC133" s="13">
        <v>1.397941</v>
      </c>
      <c r="AD133" s="13">
        <v>41.169453</v>
      </c>
      <c r="AE133" s="7" t="s">
        <v>982</v>
      </c>
      <c r="AF133" s="7" t="s">
        <v>983</v>
      </c>
      <c r="AH133" s="32" t="s">
        <v>12</v>
      </c>
      <c r="AI133" s="14" t="s">
        <v>13</v>
      </c>
    </row>
    <row r="134" spans="1:35" ht="11.25">
      <c r="A134" s="5" t="s">
        <v>984</v>
      </c>
      <c r="B134" s="6" t="s">
        <v>985</v>
      </c>
      <c r="C134" s="6" t="s">
        <v>986</v>
      </c>
      <c r="D134" s="6" t="s">
        <v>987</v>
      </c>
      <c r="E134" s="7" t="s">
        <v>976</v>
      </c>
      <c r="G134" s="8">
        <v>194</v>
      </c>
      <c r="H134" s="9" t="str">
        <f>HYPERLINK("http://www.centcols.org/util/geo/visuGen.php?code=ES-T-0194","ES-T-0194")</f>
        <v>ES-T-0194</v>
      </c>
      <c r="I134" s="7"/>
      <c r="J134" s="7"/>
      <c r="K134" s="7"/>
      <c r="L134" s="4"/>
      <c r="N134" s="7"/>
      <c r="O134" s="7"/>
      <c r="P134" s="7"/>
      <c r="Q134" s="10"/>
      <c r="R134" s="11" t="s">
        <v>38</v>
      </c>
      <c r="S134" s="12">
        <v>0</v>
      </c>
      <c r="T134" s="12">
        <v>0</v>
      </c>
      <c r="U134" s="12"/>
      <c r="V134" s="7"/>
      <c r="W134" s="12"/>
      <c r="X134" s="12"/>
      <c r="Y134" s="12"/>
      <c r="Z134" s="12"/>
      <c r="AA134" s="12"/>
      <c r="AB134" s="12"/>
      <c r="AC134" s="13">
        <v>0.69861</v>
      </c>
      <c r="AD134" s="13">
        <v>40.86613</v>
      </c>
      <c r="AE134" s="7"/>
      <c r="AF134" s="7"/>
      <c r="AH134" s="32"/>
      <c r="AI134" s="15" t="s">
        <v>39</v>
      </c>
    </row>
    <row r="135" spans="1:35" ht="11.25">
      <c r="A135" s="5" t="s">
        <v>988</v>
      </c>
      <c r="B135" s="6" t="s">
        <v>48</v>
      </c>
      <c r="C135" s="6" t="s">
        <v>989</v>
      </c>
      <c r="D135" s="6" t="s">
        <v>990</v>
      </c>
      <c r="E135" s="7" t="s">
        <v>976</v>
      </c>
      <c r="G135" s="8">
        <v>215</v>
      </c>
      <c r="H135" s="9" t="str">
        <f>HYPERLINK("http://www.centcols.org/util/geo/visuGen.php?code=ES-T-0215","ES-T-0215")</f>
        <v>ES-T-0215</v>
      </c>
      <c r="I135" s="7" t="s">
        <v>991</v>
      </c>
      <c r="J135" s="7" t="s">
        <v>992</v>
      </c>
      <c r="K135" s="7" t="s">
        <v>993</v>
      </c>
      <c r="L135" s="4" t="s">
        <v>994</v>
      </c>
      <c r="N135" s="7"/>
      <c r="O135" s="7"/>
      <c r="P135" s="7"/>
      <c r="Q135" s="10"/>
      <c r="R135" s="11" t="s">
        <v>38</v>
      </c>
      <c r="S135" s="12">
        <v>10</v>
      </c>
      <c r="T135" s="12">
        <v>35</v>
      </c>
      <c r="U135" s="12"/>
      <c r="V135" s="7"/>
      <c r="W135" s="12">
        <v>31</v>
      </c>
      <c r="X135" s="12">
        <v>292522</v>
      </c>
      <c r="Y135" s="12">
        <v>4546473</v>
      </c>
      <c r="Z135" s="12">
        <v>31</v>
      </c>
      <c r="AA135" s="12">
        <v>292427</v>
      </c>
      <c r="AB135" s="12">
        <v>4546270</v>
      </c>
      <c r="AC135" s="13">
        <v>0.53045</v>
      </c>
      <c r="AD135" s="13">
        <v>41.041207</v>
      </c>
      <c r="AE135" s="7" t="s">
        <v>995</v>
      </c>
      <c r="AF135" s="7" t="s">
        <v>996</v>
      </c>
      <c r="AH135" s="32" t="s">
        <v>12</v>
      </c>
      <c r="AI135" s="14" t="s">
        <v>13</v>
      </c>
    </row>
    <row r="136" spans="1:35" ht="11.25">
      <c r="A136" s="5" t="s">
        <v>997</v>
      </c>
      <c r="B136" s="6" t="s">
        <v>985</v>
      </c>
      <c r="C136" s="6" t="s">
        <v>998</v>
      </c>
      <c r="D136" s="6" t="s">
        <v>999</v>
      </c>
      <c r="E136" s="7" t="s">
        <v>976</v>
      </c>
      <c r="G136" s="8">
        <v>225</v>
      </c>
      <c r="H136" s="9" t="str">
        <f>HYPERLINK("http://www.centcols.org/util/geo/visuGen.php?code=ES-T-0230a","ES-T-0230a")</f>
        <v>ES-T-0230a</v>
      </c>
      <c r="I136" s="7" t="s">
        <v>1000</v>
      </c>
      <c r="J136" s="7" t="s">
        <v>1001</v>
      </c>
      <c r="K136" s="7" t="s">
        <v>1002</v>
      </c>
      <c r="L136" s="4" t="s">
        <v>1003</v>
      </c>
      <c r="N136" s="7"/>
      <c r="O136" s="7"/>
      <c r="P136" s="7"/>
      <c r="Q136" s="10"/>
      <c r="R136" s="11" t="s">
        <v>38</v>
      </c>
      <c r="S136" s="12">
        <v>10</v>
      </c>
      <c r="T136" s="12">
        <v>35</v>
      </c>
      <c r="U136" s="12"/>
      <c r="V136" s="7"/>
      <c r="W136" s="12">
        <v>31</v>
      </c>
      <c r="X136" s="12">
        <v>291501</v>
      </c>
      <c r="Y136" s="12">
        <v>4546080</v>
      </c>
      <c r="Z136" s="12">
        <v>31</v>
      </c>
      <c r="AA136" s="12">
        <v>291406</v>
      </c>
      <c r="AB136" s="12">
        <v>4545877</v>
      </c>
      <c r="AC136" s="13">
        <v>0.518447</v>
      </c>
      <c r="AD136" s="13">
        <v>41.03741</v>
      </c>
      <c r="AE136" s="7" t="s">
        <v>1004</v>
      </c>
      <c r="AF136" s="7" t="s">
        <v>1005</v>
      </c>
      <c r="AH136" s="32" t="s">
        <v>12</v>
      </c>
      <c r="AI136" s="14" t="s">
        <v>13</v>
      </c>
    </row>
    <row r="137" spans="1:35" ht="11.25">
      <c r="A137" s="5" t="s">
        <v>1006</v>
      </c>
      <c r="B137" s="6" t="s">
        <v>48</v>
      </c>
      <c r="C137" s="6" t="s">
        <v>1007</v>
      </c>
      <c r="D137" s="6" t="s">
        <v>1008</v>
      </c>
      <c r="E137" s="7" t="s">
        <v>976</v>
      </c>
      <c r="G137" s="8">
        <v>235</v>
      </c>
      <c r="H137" s="9" t="str">
        <f>HYPERLINK("http://www.centcols.org/util/geo/visuGen.php?code=ES-T-0235","ES-T-0235")</f>
        <v>ES-T-0235</v>
      </c>
      <c r="I137" s="7" t="s">
        <v>1009</v>
      </c>
      <c r="J137" s="7" t="s">
        <v>1010</v>
      </c>
      <c r="K137" s="7"/>
      <c r="L137" s="4" t="s">
        <v>1011</v>
      </c>
      <c r="N137" s="7"/>
      <c r="O137" s="7"/>
      <c r="P137" s="7"/>
      <c r="Q137" s="10"/>
      <c r="R137" s="11" t="s">
        <v>79</v>
      </c>
      <c r="S137" s="12">
        <v>15</v>
      </c>
      <c r="T137" s="12">
        <v>99</v>
      </c>
      <c r="U137" s="12"/>
      <c r="V137" s="7"/>
      <c r="W137" s="12">
        <v>31</v>
      </c>
      <c r="X137" s="12">
        <v>301980</v>
      </c>
      <c r="Y137" s="12">
        <v>4534979</v>
      </c>
      <c r="Z137" s="12">
        <v>31</v>
      </c>
      <c r="AA137" s="12">
        <v>301885</v>
      </c>
      <c r="AB137" s="12">
        <v>4534776</v>
      </c>
      <c r="AC137" s="13">
        <v>0.646563</v>
      </c>
      <c r="AD137" s="13">
        <v>40.94011</v>
      </c>
      <c r="AE137" s="7" t="s">
        <v>1012</v>
      </c>
      <c r="AF137" s="7" t="s">
        <v>1013</v>
      </c>
      <c r="AH137" s="32"/>
      <c r="AI137" s="14" t="s">
        <v>13</v>
      </c>
    </row>
    <row r="138" spans="1:35" ht="22.5">
      <c r="A138" s="5" t="s">
        <v>1014</v>
      </c>
      <c r="B138" s="6" t="s">
        <v>168</v>
      </c>
      <c r="C138" s="6" t="s">
        <v>1015</v>
      </c>
      <c r="D138" s="6" t="s">
        <v>1015</v>
      </c>
      <c r="E138" s="7" t="s">
        <v>976</v>
      </c>
      <c r="G138" s="8">
        <v>276</v>
      </c>
      <c r="H138" s="9" t="str">
        <f>HYPERLINK("http://www.centcols.org/util/geo/visuGen.php?code=ES-T-0310b","ES-T-0310b")</f>
        <v>ES-T-0310b</v>
      </c>
      <c r="I138" s="7" t="s">
        <v>1016</v>
      </c>
      <c r="J138" s="7" t="s">
        <v>1017</v>
      </c>
      <c r="K138" s="7" t="s">
        <v>1018</v>
      </c>
      <c r="L138" s="4" t="s">
        <v>1019</v>
      </c>
      <c r="N138" s="7"/>
      <c r="O138" s="7"/>
      <c r="P138" s="7"/>
      <c r="Q138" s="10"/>
      <c r="R138" s="11" t="s">
        <v>139</v>
      </c>
      <c r="S138" s="12">
        <v>10</v>
      </c>
      <c r="T138" s="12">
        <v>2</v>
      </c>
      <c r="U138" s="12"/>
      <c r="V138" s="7"/>
      <c r="W138" s="12">
        <v>31</v>
      </c>
      <c r="X138" s="12">
        <v>336740</v>
      </c>
      <c r="Y138" s="12">
        <v>4562472</v>
      </c>
      <c r="Z138" s="12">
        <v>31</v>
      </c>
      <c r="AA138" s="12">
        <v>336645</v>
      </c>
      <c r="AB138" s="12">
        <v>4562269</v>
      </c>
      <c r="AC138" s="13">
        <v>1.051938</v>
      </c>
      <c r="AD138" s="13">
        <v>41.195315</v>
      </c>
      <c r="AE138" s="7" t="s">
        <v>1020</v>
      </c>
      <c r="AF138" s="7" t="s">
        <v>1021</v>
      </c>
      <c r="AH138" s="32" t="s">
        <v>12</v>
      </c>
      <c r="AI138" s="14" t="s">
        <v>13</v>
      </c>
    </row>
    <row r="139" spans="1:35" ht="11.25">
      <c r="A139" s="33" t="s">
        <v>1412</v>
      </c>
      <c r="B139" s="33" t="s">
        <v>52</v>
      </c>
      <c r="C139" s="33" t="s">
        <v>1413</v>
      </c>
      <c r="D139" s="33" t="s">
        <v>1414</v>
      </c>
      <c r="E139" s="16" t="s">
        <v>976</v>
      </c>
      <c r="F139" s="33"/>
      <c r="G139" s="34">
        <v>326</v>
      </c>
      <c r="H139" s="18" t="str">
        <f>HYPERLINK("http://www.centcols.org/util/geo/visuGen.php?code=ES-T-0326","ES-T-0326")</f>
        <v>ES-T-0326</v>
      </c>
      <c r="I139" s="16" t="s">
        <v>1415</v>
      </c>
      <c r="J139" s="16" t="s">
        <v>1416</v>
      </c>
      <c r="K139" s="20" t="s">
        <v>1417</v>
      </c>
      <c r="L139" s="19" t="s">
        <v>1418</v>
      </c>
      <c r="M139" s="19"/>
      <c r="N139" s="16" t="s">
        <v>12</v>
      </c>
      <c r="O139" s="16" t="s">
        <v>12</v>
      </c>
      <c r="P139" s="16" t="s">
        <v>12</v>
      </c>
      <c r="Q139" s="20"/>
      <c r="R139" s="21" t="s">
        <v>12</v>
      </c>
      <c r="S139" s="22">
        <v>20</v>
      </c>
      <c r="T139" s="22">
        <v>99</v>
      </c>
      <c r="U139" s="22"/>
      <c r="V139" s="16" t="s">
        <v>12</v>
      </c>
      <c r="W139" s="22">
        <v>31</v>
      </c>
      <c r="X139" s="22">
        <v>292838</v>
      </c>
      <c r="Y139" s="22">
        <v>4537623</v>
      </c>
      <c r="Z139" s="22">
        <v>31</v>
      </c>
      <c r="AA139" s="22">
        <v>292743</v>
      </c>
      <c r="AB139" s="22">
        <v>4537420</v>
      </c>
      <c r="AC139" s="35">
        <v>0.537174</v>
      </c>
      <c r="AD139" s="35">
        <v>40.961639</v>
      </c>
      <c r="AE139" s="16" t="s">
        <v>1419</v>
      </c>
      <c r="AF139" s="16" t="s">
        <v>1420</v>
      </c>
      <c r="AG139" s="24" t="s">
        <v>552</v>
      </c>
      <c r="AH139" s="24"/>
      <c r="AI139" s="25" t="s">
        <v>1172</v>
      </c>
    </row>
    <row r="140" spans="1:35" ht="11.25">
      <c r="A140" s="5" t="s">
        <v>1022</v>
      </c>
      <c r="B140" s="6" t="s">
        <v>1023</v>
      </c>
      <c r="C140" s="6" t="s">
        <v>1024</v>
      </c>
      <c r="D140" s="6" t="s">
        <v>1025</v>
      </c>
      <c r="E140" s="7" t="s">
        <v>976</v>
      </c>
      <c r="G140" s="8">
        <v>432</v>
      </c>
      <c r="H140" s="9" t="str">
        <f>HYPERLINK("http://www.centcols.org/util/geo/visuGen.php?code=ES-T-0441","ES-T-0441")</f>
        <v>ES-T-0441</v>
      </c>
      <c r="I140" s="7" t="s">
        <v>1026</v>
      </c>
      <c r="J140" s="7" t="s">
        <v>1027</v>
      </c>
      <c r="K140" s="7" t="s">
        <v>1028</v>
      </c>
      <c r="L140" s="4" t="s">
        <v>1029</v>
      </c>
      <c r="M140" s="4" t="s">
        <v>1030</v>
      </c>
      <c r="N140" s="7"/>
      <c r="O140" s="7"/>
      <c r="P140" s="7"/>
      <c r="Q140" s="10"/>
      <c r="R140" s="11" t="s">
        <v>1031</v>
      </c>
      <c r="S140" s="12">
        <v>0</v>
      </c>
      <c r="T140" s="12">
        <v>0</v>
      </c>
      <c r="U140" s="12"/>
      <c r="V140" s="7"/>
      <c r="W140" s="12">
        <v>31</v>
      </c>
      <c r="X140" s="12">
        <v>316858</v>
      </c>
      <c r="Y140" s="12">
        <v>4567775</v>
      </c>
      <c r="Z140" s="12">
        <v>31</v>
      </c>
      <c r="AA140" s="12">
        <v>316764</v>
      </c>
      <c r="AB140" s="12">
        <v>4567572</v>
      </c>
      <c r="AC140" s="13">
        <v>0.813407</v>
      </c>
      <c r="AD140" s="13">
        <v>41.238797</v>
      </c>
      <c r="AE140" s="7" t="s">
        <v>1032</v>
      </c>
      <c r="AF140" s="7" t="s">
        <v>1033</v>
      </c>
      <c r="AH140" s="32" t="s">
        <v>12</v>
      </c>
      <c r="AI140" s="14" t="s">
        <v>13</v>
      </c>
    </row>
    <row r="141" spans="1:35" ht="11.25">
      <c r="A141" s="5" t="s">
        <v>1034</v>
      </c>
      <c r="B141" s="6" t="s">
        <v>326</v>
      </c>
      <c r="C141" s="6" t="s">
        <v>1035</v>
      </c>
      <c r="D141" s="6" t="s">
        <v>1036</v>
      </c>
      <c r="E141" s="7" t="s">
        <v>976</v>
      </c>
      <c r="G141" s="8">
        <v>522</v>
      </c>
      <c r="H141" s="9" t="str">
        <f>HYPERLINK("http://www.centcols.org/util/geo/visuGen.php?code=ES-T-0525a","ES-T-0525a")</f>
        <v>ES-T-0525a</v>
      </c>
      <c r="I141" s="7" t="s">
        <v>1037</v>
      </c>
      <c r="J141" s="7" t="s">
        <v>1038</v>
      </c>
      <c r="K141" s="7" t="s">
        <v>1039</v>
      </c>
      <c r="L141" s="4" t="s">
        <v>1040</v>
      </c>
      <c r="N141" s="7"/>
      <c r="O141" s="7"/>
      <c r="P141" s="7"/>
      <c r="Q141" s="10"/>
      <c r="R141" s="11" t="s">
        <v>38</v>
      </c>
      <c r="S141" s="12">
        <v>10</v>
      </c>
      <c r="T141" s="12">
        <v>35</v>
      </c>
      <c r="U141" s="12"/>
      <c r="V141" s="7"/>
      <c r="W141" s="12">
        <v>31</v>
      </c>
      <c r="X141" s="12">
        <v>318779</v>
      </c>
      <c r="Y141" s="12">
        <v>4568623</v>
      </c>
      <c r="Z141" s="12">
        <v>31</v>
      </c>
      <c r="AA141" s="12">
        <v>318685</v>
      </c>
      <c r="AB141" s="12">
        <v>4568420</v>
      </c>
      <c r="AC141" s="13">
        <v>0.836062</v>
      </c>
      <c r="AD141" s="13">
        <v>41.246863</v>
      </c>
      <c r="AE141" s="7" t="s">
        <v>1041</v>
      </c>
      <c r="AF141" s="7" t="s">
        <v>1042</v>
      </c>
      <c r="AH141" s="32" t="s">
        <v>12</v>
      </c>
      <c r="AI141" s="14" t="s">
        <v>13</v>
      </c>
    </row>
    <row r="142" spans="1:35" ht="11.25">
      <c r="A142" s="5" t="s">
        <v>1043</v>
      </c>
      <c r="B142" s="6" t="s">
        <v>52</v>
      </c>
      <c r="C142" s="6" t="s">
        <v>1044</v>
      </c>
      <c r="D142" s="6" t="s">
        <v>1045</v>
      </c>
      <c r="E142" s="7" t="s">
        <v>976</v>
      </c>
      <c r="G142" s="8">
        <v>1169</v>
      </c>
      <c r="H142" s="9" t="str">
        <f>HYPERLINK("http://www.centcols.org/util/geo/visuGen.php?code=ES-T-1185a","ES-T-1185a")</f>
        <v>ES-T-1185a</v>
      </c>
      <c r="I142" s="7" t="s">
        <v>1046</v>
      </c>
      <c r="J142" s="7" t="s">
        <v>1047</v>
      </c>
      <c r="K142" s="7" t="s">
        <v>1048</v>
      </c>
      <c r="L142" s="4" t="s">
        <v>1049</v>
      </c>
      <c r="N142" s="7"/>
      <c r="O142" s="7"/>
      <c r="P142" s="7"/>
      <c r="Q142" s="10" t="s">
        <v>1050</v>
      </c>
      <c r="R142" s="11"/>
      <c r="S142" s="12">
        <v>20</v>
      </c>
      <c r="T142" s="12">
        <v>99</v>
      </c>
      <c r="U142" s="12"/>
      <c r="V142" s="7"/>
      <c r="W142" s="12">
        <v>31</v>
      </c>
      <c r="X142" s="12">
        <v>269064</v>
      </c>
      <c r="Y142" s="12">
        <v>4518229</v>
      </c>
      <c r="Z142" s="12">
        <v>31</v>
      </c>
      <c r="AA142" s="12">
        <v>268970</v>
      </c>
      <c r="AB142" s="12">
        <v>4518026</v>
      </c>
      <c r="AC142" s="13">
        <v>0.262165</v>
      </c>
      <c r="AD142" s="13">
        <v>40.780754</v>
      </c>
      <c r="AE142" s="7" t="s">
        <v>1051</v>
      </c>
      <c r="AF142" s="7" t="s">
        <v>1052</v>
      </c>
      <c r="AH142" s="32" t="s">
        <v>12</v>
      </c>
      <c r="AI142" s="14" t="s">
        <v>13</v>
      </c>
    </row>
    <row r="143" spans="1:35" ht="11.25">
      <c r="A143" s="5" t="s">
        <v>1053</v>
      </c>
      <c r="B143" s="6" t="s">
        <v>234</v>
      </c>
      <c r="C143" s="6" t="s">
        <v>1054</v>
      </c>
      <c r="D143" s="6" t="s">
        <v>1055</v>
      </c>
      <c r="E143" s="7" t="s">
        <v>1056</v>
      </c>
      <c r="G143" s="8">
        <v>1050</v>
      </c>
      <c r="H143" s="9" t="str">
        <f>HYPERLINK("http://www.centcols.org/util/geo/visuGen.php?code=ES-TE-1050","ES-TE-1050")</f>
        <v>ES-TE-1050</v>
      </c>
      <c r="I143" s="7"/>
      <c r="J143" s="7"/>
      <c r="K143" s="7"/>
      <c r="L143" s="4"/>
      <c r="N143" s="7"/>
      <c r="O143" s="7"/>
      <c r="P143" s="7"/>
      <c r="Q143" s="10"/>
      <c r="R143" s="11" t="s">
        <v>38</v>
      </c>
      <c r="S143" s="12">
        <v>0</v>
      </c>
      <c r="T143" s="12">
        <v>0</v>
      </c>
      <c r="U143" s="12"/>
      <c r="V143" s="7"/>
      <c r="W143" s="12"/>
      <c r="X143" s="12"/>
      <c r="Y143" s="12"/>
      <c r="Z143" s="12"/>
      <c r="AA143" s="12"/>
      <c r="AB143" s="12"/>
      <c r="AC143" s="13">
        <v>-0.95095</v>
      </c>
      <c r="AD143" s="13">
        <v>40.95449</v>
      </c>
      <c r="AE143" s="7"/>
      <c r="AF143" s="7"/>
      <c r="AH143" s="32"/>
      <c r="AI143" s="15" t="s">
        <v>39</v>
      </c>
    </row>
    <row r="144" spans="1:35" ht="11.25">
      <c r="A144" s="5" t="s">
        <v>1057</v>
      </c>
      <c r="B144" s="6" t="s">
        <v>178</v>
      </c>
      <c r="C144" s="6" t="s">
        <v>1058</v>
      </c>
      <c r="D144" s="6" t="s">
        <v>1059</v>
      </c>
      <c r="E144" s="7" t="s">
        <v>1056</v>
      </c>
      <c r="G144" s="8">
        <v>1457</v>
      </c>
      <c r="H144" s="9" t="str">
        <f>HYPERLINK("http://www.centcols.org/util/geo/visuGen.php?code=ES-TE-1457","ES-TE-1457")</f>
        <v>ES-TE-1457</v>
      </c>
      <c r="I144" s="7" t="s">
        <v>1060</v>
      </c>
      <c r="J144" s="7" t="s">
        <v>1061</v>
      </c>
      <c r="K144" s="7"/>
      <c r="L144" s="4" t="s">
        <v>1062</v>
      </c>
      <c r="N144" s="7"/>
      <c r="O144" s="7"/>
      <c r="P144" s="7"/>
      <c r="Q144" s="10"/>
      <c r="R144" s="11" t="s">
        <v>1063</v>
      </c>
      <c r="S144" s="12">
        <v>15</v>
      </c>
      <c r="T144" s="12">
        <v>99</v>
      </c>
      <c r="U144" s="12">
        <v>0</v>
      </c>
      <c r="V144" s="7" t="s">
        <v>1064</v>
      </c>
      <c r="W144" s="12">
        <v>30</v>
      </c>
      <c r="X144" s="12">
        <v>661179</v>
      </c>
      <c r="Y144" s="12">
        <v>4432302</v>
      </c>
      <c r="Z144" s="12">
        <v>30</v>
      </c>
      <c r="AA144" s="12">
        <v>661070</v>
      </c>
      <c r="AB144" s="12">
        <v>4432093</v>
      </c>
      <c r="AC144" s="13">
        <v>-1.112456</v>
      </c>
      <c r="AD144" s="13">
        <v>40.02369</v>
      </c>
      <c r="AE144" s="7" t="s">
        <v>1065</v>
      </c>
      <c r="AF144" s="7" t="s">
        <v>1066</v>
      </c>
      <c r="AH144" s="32" t="s">
        <v>12</v>
      </c>
      <c r="AI144" s="14" t="s">
        <v>13</v>
      </c>
    </row>
    <row r="145" spans="1:35" ht="22.5">
      <c r="A145" s="5" t="s">
        <v>1067</v>
      </c>
      <c r="B145" s="6" t="s">
        <v>1068</v>
      </c>
      <c r="C145" s="6" t="s">
        <v>1069</v>
      </c>
      <c r="D145" s="6" t="s">
        <v>1070</v>
      </c>
      <c r="E145" s="7" t="s">
        <v>1071</v>
      </c>
      <c r="F145" s="5" t="s">
        <v>1072</v>
      </c>
      <c r="G145" s="8">
        <v>520</v>
      </c>
      <c r="H145" s="9" t="str">
        <f>HYPERLINK("http://www.centcols.org/util/geo/visuGen.php?code=ES-TF-0920","ES-TF-0920")</f>
        <v>ES-TF-0920</v>
      </c>
      <c r="I145" s="7" t="s">
        <v>1073</v>
      </c>
      <c r="J145" s="7" t="s">
        <v>1074</v>
      </c>
      <c r="K145" s="7"/>
      <c r="L145" s="4" t="s">
        <v>1075</v>
      </c>
      <c r="N145" s="7"/>
      <c r="O145" s="7"/>
      <c r="P145" s="7"/>
      <c r="Q145" s="10"/>
      <c r="R145" s="11" t="s">
        <v>1076</v>
      </c>
      <c r="S145" s="12">
        <v>0</v>
      </c>
      <c r="T145" s="12">
        <v>0</v>
      </c>
      <c r="U145" s="12"/>
      <c r="V145" s="7"/>
      <c r="W145" s="12"/>
      <c r="X145" s="12"/>
      <c r="Y145" s="12"/>
      <c r="Z145" s="12">
        <v>28</v>
      </c>
      <c r="AA145" s="12">
        <v>283479</v>
      </c>
      <c r="AB145" s="12">
        <v>3105974</v>
      </c>
      <c r="AC145" s="13">
        <v>-17.203098</v>
      </c>
      <c r="AD145" s="13">
        <v>28.061501</v>
      </c>
      <c r="AE145" s="7" t="s">
        <v>1077</v>
      </c>
      <c r="AF145" s="7" t="s">
        <v>1078</v>
      </c>
      <c r="AH145" s="36" t="s">
        <v>1421</v>
      </c>
      <c r="AI145" s="14" t="s">
        <v>13</v>
      </c>
    </row>
    <row r="146" spans="1:35" ht="11.25">
      <c r="A146" s="5" t="s">
        <v>1079</v>
      </c>
      <c r="B146" s="6" t="s">
        <v>2</v>
      </c>
      <c r="C146" s="6" t="s">
        <v>1080</v>
      </c>
      <c r="D146" s="6" t="s">
        <v>1080</v>
      </c>
      <c r="E146" s="7" t="s">
        <v>774</v>
      </c>
      <c r="G146" s="8">
        <v>615</v>
      </c>
      <c r="H146" s="9" t="str">
        <f>HYPERLINK("http://www.centcols.org/util/geo/visuGen.php?code=ES-V-0615","ES-V-0615")</f>
        <v>ES-V-0615</v>
      </c>
      <c r="I146" s="7" t="s">
        <v>1081</v>
      </c>
      <c r="J146" s="7" t="s">
        <v>1082</v>
      </c>
      <c r="K146" s="7"/>
      <c r="L146" s="4" t="s">
        <v>1083</v>
      </c>
      <c r="M146" s="4" t="s">
        <v>1084</v>
      </c>
      <c r="N146" s="7"/>
      <c r="O146" s="7"/>
      <c r="P146" s="7"/>
      <c r="Q146" s="10"/>
      <c r="R146" s="11" t="s">
        <v>1085</v>
      </c>
      <c r="S146" s="12">
        <v>0</v>
      </c>
      <c r="T146" s="12">
        <v>0</v>
      </c>
      <c r="U146" s="12"/>
      <c r="V146" s="7"/>
      <c r="W146" s="12">
        <v>30</v>
      </c>
      <c r="X146" s="12">
        <v>619291</v>
      </c>
      <c r="Y146" s="12">
        <v>4195033</v>
      </c>
      <c r="Z146" s="12">
        <v>30</v>
      </c>
      <c r="AA146" s="12">
        <v>619180</v>
      </c>
      <c r="AB146" s="12">
        <v>4194825</v>
      </c>
      <c r="AC146" s="13">
        <v>-1.64455</v>
      </c>
      <c r="AD146" s="13">
        <v>37.893146</v>
      </c>
      <c r="AE146" s="7" t="s">
        <v>1086</v>
      </c>
      <c r="AF146" s="7" t="s">
        <v>1087</v>
      </c>
      <c r="AH146" s="32"/>
      <c r="AI146" s="14" t="s">
        <v>13</v>
      </c>
    </row>
    <row r="147" spans="1:35" ht="11.25">
      <c r="A147" s="5" t="s">
        <v>1088</v>
      </c>
      <c r="B147" s="6" t="s">
        <v>630</v>
      </c>
      <c r="C147" s="6" t="s">
        <v>1089</v>
      </c>
      <c r="D147" s="6" t="s">
        <v>1090</v>
      </c>
      <c r="E147" s="7" t="s">
        <v>1091</v>
      </c>
      <c r="G147" s="8">
        <v>866</v>
      </c>
      <c r="H147" s="9" t="str">
        <f>HYPERLINK("http://www.centcols.org/util/geo/visuGen.php?code=ES-V-0866","ES-V-0866")</f>
        <v>ES-V-0866</v>
      </c>
      <c r="I147" s="7" t="s">
        <v>1092</v>
      </c>
      <c r="J147" s="7" t="s">
        <v>1093</v>
      </c>
      <c r="K147" s="7"/>
      <c r="L147" s="4" t="s">
        <v>1094</v>
      </c>
      <c r="N147" s="7"/>
      <c r="O147" s="7"/>
      <c r="P147" s="7"/>
      <c r="Q147" s="10"/>
      <c r="R147" s="11" t="s">
        <v>38</v>
      </c>
      <c r="S147" s="12">
        <v>10</v>
      </c>
      <c r="T147" s="12">
        <v>35</v>
      </c>
      <c r="U147" s="12"/>
      <c r="V147" s="7"/>
      <c r="W147" s="12">
        <v>30</v>
      </c>
      <c r="X147" s="12">
        <v>676118</v>
      </c>
      <c r="Y147" s="12">
        <v>4374454</v>
      </c>
      <c r="Z147" s="12">
        <v>30</v>
      </c>
      <c r="AA147" s="12">
        <v>676008</v>
      </c>
      <c r="AB147" s="12">
        <v>4374246</v>
      </c>
      <c r="AC147" s="13">
        <v>-0.952982</v>
      </c>
      <c r="AD147" s="13">
        <v>39.499825</v>
      </c>
      <c r="AE147" s="7" t="s">
        <v>1095</v>
      </c>
      <c r="AF147" s="7" t="s">
        <v>1096</v>
      </c>
      <c r="AH147" s="32" t="s">
        <v>12</v>
      </c>
      <c r="AI147" s="14" t="s">
        <v>13</v>
      </c>
    </row>
    <row r="148" spans="1:35" ht="33.75">
      <c r="A148" s="5" t="s">
        <v>1097</v>
      </c>
      <c r="B148" s="6" t="s">
        <v>1098</v>
      </c>
      <c r="C148" s="6" t="s">
        <v>1099</v>
      </c>
      <c r="D148" s="6" t="s">
        <v>1100</v>
      </c>
      <c r="E148" s="7" t="s">
        <v>1101</v>
      </c>
      <c r="G148" s="8">
        <v>576</v>
      </c>
      <c r="H148" s="9" t="str">
        <f>HYPERLINK("http://www.centcols.org/util/geo/visuGen.php?code=ES-VI-0576","ES-VI-0576")</f>
        <v>ES-VI-0576</v>
      </c>
      <c r="I148" s="7" t="s">
        <v>1102</v>
      </c>
      <c r="J148" s="7" t="s">
        <v>1103</v>
      </c>
      <c r="K148" s="7"/>
      <c r="L148" s="4" t="s">
        <v>1104</v>
      </c>
      <c r="N148" s="7"/>
      <c r="O148" s="7"/>
      <c r="P148" s="7"/>
      <c r="Q148" s="10"/>
      <c r="R148" s="11" t="s">
        <v>79</v>
      </c>
      <c r="S148" s="12">
        <v>15</v>
      </c>
      <c r="T148" s="12">
        <v>99</v>
      </c>
      <c r="U148" s="12"/>
      <c r="V148" s="7"/>
      <c r="W148" s="12">
        <v>30</v>
      </c>
      <c r="X148" s="12">
        <v>504572</v>
      </c>
      <c r="Y148" s="12">
        <v>4768845</v>
      </c>
      <c r="Z148" s="12">
        <v>30</v>
      </c>
      <c r="AA148" s="12">
        <v>504466</v>
      </c>
      <c r="AB148" s="12">
        <v>4768637</v>
      </c>
      <c r="AC148" s="13">
        <v>-2.945145</v>
      </c>
      <c r="AD148" s="13">
        <v>43.070428</v>
      </c>
      <c r="AE148" s="7" t="s">
        <v>1105</v>
      </c>
      <c r="AF148" s="7" t="s">
        <v>1106</v>
      </c>
      <c r="AH148" s="32" t="s">
        <v>12</v>
      </c>
      <c r="AI148" s="14" t="s">
        <v>13</v>
      </c>
    </row>
    <row r="149" spans="1:35" ht="22.5">
      <c r="A149" s="5" t="s">
        <v>1107</v>
      </c>
      <c r="B149" s="6" t="s">
        <v>1108</v>
      </c>
      <c r="C149" s="6" t="s">
        <v>1109</v>
      </c>
      <c r="D149" s="6" t="s">
        <v>1110</v>
      </c>
      <c r="E149" s="7" t="s">
        <v>1101</v>
      </c>
      <c r="G149" s="8">
        <v>606</v>
      </c>
      <c r="H149" s="9" t="str">
        <f>HYPERLINK("http://www.centcols.org/util/geo/visuGen.php?code=ES-VI-0606","ES-VI-0606")</f>
        <v>ES-VI-0606</v>
      </c>
      <c r="I149" s="7" t="s">
        <v>1111</v>
      </c>
      <c r="J149" s="7" t="s">
        <v>1112</v>
      </c>
      <c r="K149" s="7"/>
      <c r="L149" s="4" t="s">
        <v>1113</v>
      </c>
      <c r="N149" s="7"/>
      <c r="O149" s="7"/>
      <c r="P149" s="7"/>
      <c r="Q149" s="10"/>
      <c r="R149" s="11" t="s">
        <v>79</v>
      </c>
      <c r="S149" s="12">
        <v>15</v>
      </c>
      <c r="T149" s="12">
        <v>99</v>
      </c>
      <c r="U149" s="12"/>
      <c r="V149" s="7"/>
      <c r="W149" s="12">
        <v>30</v>
      </c>
      <c r="X149" s="12">
        <v>532361</v>
      </c>
      <c r="Y149" s="12">
        <v>4753039</v>
      </c>
      <c r="Z149" s="12">
        <v>30</v>
      </c>
      <c r="AA149" s="12">
        <v>532255</v>
      </c>
      <c r="AB149" s="12">
        <v>4752831</v>
      </c>
      <c r="AC149" s="13">
        <v>-2.604741</v>
      </c>
      <c r="AD149" s="13">
        <v>42.927421</v>
      </c>
      <c r="AE149" s="7" t="s">
        <v>1114</v>
      </c>
      <c r="AF149" s="7" t="s">
        <v>1115</v>
      </c>
      <c r="AH149" s="32" t="s">
        <v>12</v>
      </c>
      <c r="AI149" s="14" t="s">
        <v>13</v>
      </c>
    </row>
    <row r="150" spans="1:35" ht="11.25">
      <c r="A150" s="5" t="s">
        <v>1116</v>
      </c>
      <c r="B150" s="6" t="s">
        <v>1117</v>
      </c>
      <c r="C150" s="6" t="s">
        <v>1118</v>
      </c>
      <c r="D150" s="6" t="s">
        <v>1119</v>
      </c>
      <c r="E150" s="7" t="s">
        <v>1120</v>
      </c>
      <c r="G150" s="8">
        <v>877</v>
      </c>
      <c r="H150" s="9" t="str">
        <f>HYPERLINK("http://www.centcols.org/util/geo/visuGen.php?code=ES-Z-0877","ES-Z-0877")</f>
        <v>ES-Z-0877</v>
      </c>
      <c r="I150" s="7" t="s">
        <v>1121</v>
      </c>
      <c r="J150" s="7" t="s">
        <v>1122</v>
      </c>
      <c r="K150" s="7"/>
      <c r="L150" s="4" t="s">
        <v>1123</v>
      </c>
      <c r="N150" s="7"/>
      <c r="O150" s="7"/>
      <c r="P150" s="7"/>
      <c r="Q150" s="10"/>
      <c r="R150" s="11" t="s">
        <v>219</v>
      </c>
      <c r="S150" s="12">
        <v>20</v>
      </c>
      <c r="T150" s="12">
        <v>99</v>
      </c>
      <c r="U150" s="12"/>
      <c r="V150" s="7"/>
      <c r="W150" s="12">
        <v>30</v>
      </c>
      <c r="X150" s="12">
        <v>652065</v>
      </c>
      <c r="Y150" s="12">
        <v>4698484</v>
      </c>
      <c r="Z150" s="12">
        <v>30</v>
      </c>
      <c r="AA150" s="12">
        <v>651958</v>
      </c>
      <c r="AB150" s="12">
        <v>4698274</v>
      </c>
      <c r="AC150" s="13">
        <v>-1.152929</v>
      </c>
      <c r="AD150" s="13">
        <v>42.421907</v>
      </c>
      <c r="AE150" s="7" t="s">
        <v>1124</v>
      </c>
      <c r="AF150" s="7" t="s">
        <v>1125</v>
      </c>
      <c r="AH150" s="32" t="s">
        <v>12</v>
      </c>
      <c r="AI150" s="14" t="s">
        <v>13</v>
      </c>
    </row>
  </sheetData>
  <sheetProtection formatCells="0" formatColumns="0" formatRows="0" insertRows="0" insertHyperlinks="0" deleteRows="0" sort="0" autoFilter="0" pivotTables="0"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WSL Birmensdorf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Schleppi</dc:creator>
  <cp:keywords/>
  <dc:description/>
  <cp:lastModifiedBy>Graham</cp:lastModifiedBy>
  <dcterms:created xsi:type="dcterms:W3CDTF">2018-03-18T20:11:43Z</dcterms:created>
  <dcterms:modified xsi:type="dcterms:W3CDTF">2019-04-03T11:01:18Z</dcterms:modified>
  <cp:category/>
  <cp:version/>
  <cp:contentType/>
  <cp:contentStatus/>
</cp:coreProperties>
</file>